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<sst xmlns="http://schemas.openxmlformats.org/spreadsheetml/2006/main" count="632" uniqueCount="247">
  <si>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</si>
  <si>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</si>
  <si>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</si>
  <si>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</si>
  <si>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</si>
  <si>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</si>
  <si>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</si>
  <si>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</si>
  <si>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</si>
  <si>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</si>
  <si>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</si>
  <si>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</si>
  <si>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</si>
  <si>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</si>
  <si>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</si>
  <si>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</si>
  <si>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</si>
  <si>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</si>
  <si>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</si>
  <si>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</si>
  <si>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</si>
  <si>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</si>
  <si>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</si>
  <si>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</si>
  <si>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</si>
  <si>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</si>
  <si>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</si>
  <si>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</si>
  <si>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</si>
  <si>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</si>
  <si>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</si>
  <si>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</si>
  <si>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</si>
  <si>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</si>
  <si>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</si>
  <si>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</si>
  <si>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</si>
  <si>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</si>
  <si>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</si>
  <si>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</si>
  <si>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</si>
  <si>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</si>
  <si>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</si>
  <si>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</si>
  <si>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</si>
  <si>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</si>
  <si>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</si>
  <si>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</si>
  <si>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</si>
  <si>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</si>
  <si>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</si>
  <si>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</si>
  <si>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</si>
  <si>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</si>
  <si>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</si>
  <si>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</si>
  <si>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</si>
  <si>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</si>
  <si>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</si>
  <si>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</si>
  <si>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</si>
  <si>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</si>
  <si>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</si>
  <si>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</si>
  <si>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</si>
  <si>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</si>
  <si>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</si>
  <si>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</si>
  <si>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</si>
  <si>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</si>
  <si>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</si>
  <si>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</si>
  <si>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</si>
  <si>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</si>
  <si>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</si>
  <si>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</si>
  <si>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</si>
  <si>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</si>
  <si>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</si>
  <si>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</si>
  <si>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</si>
  <si>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План                 на 1 полугодие 2018 года</t>
  </si>
  <si>
    <t>Уточн. план на 2018 год</t>
  </si>
  <si>
    <t>Первонач. план на 2018 год</t>
  </si>
  <si>
    <t xml:space="preserve">% исп-ия к уточн. плану на 2018 год </t>
  </si>
  <si>
    <t xml:space="preserve">% исп-ия к первонач. плану на 2018 год </t>
  </si>
  <si>
    <t>Отчет об исполнении консолидированного бюджета Октябрьского района по состоянию на 01.06.2018</t>
  </si>
  <si>
    <t>Исполнение на 01.06.2018</t>
  </si>
  <si>
    <t xml:space="preserve">% исп-ия к плану на 1 полугодие 2018 года </t>
  </si>
  <si>
    <t>Отчет  об  исполнении  консолидированного  бюджета  района  по  расходам на 1 июня 2018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</si>
  <si>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</si>
  <si>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</si>
  <si>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</si>
  <si>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</si>
  <si>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</si>
  <si>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</si>
  <si>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01.06.2018</t>
  </si>
  <si>
    <t>% исполнения</t>
  </si>
  <si>
    <t>исполнения на 01.06.2018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</si>
  <si>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</si>
  <si>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</si>
  <si>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</si>
  <si>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</si>
  <si>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</si>
  <si>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</si>
  <si>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</si>
  <si>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</si>
  <si>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</si>
  <si>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</si>
  <si>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</si>
  <si>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</si>
  <si>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</si>
  <si>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</si>
  <si>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</si>
  <si>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</si>
  <si>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</si>
  <si>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</si>
  <si>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</si>
  <si>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</si>
  <si>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</si>
  <si>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</si>
  <si>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</si>
  <si>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</si>
  <si>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</si>
  <si>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</si>
  <si>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</si>
  <si>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</si>
  <si>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</si>
  <si>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</si>
  <si>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</si>
  <si>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</si>
  <si>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</si>
  <si>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</si>
  <si>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</si>
  <si>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</si>
  <si>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</si>
  <si>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</si>
  <si>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</si>
  <si>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</si>
  <si>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</si>
  <si>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</si>
  <si>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</si>
  <si>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</si>
  <si>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</si>
  <si>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</si>
  <si>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</si>
  <si>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</si>
  <si>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</si>
  <si>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</si>
  <si>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</si>
  <si>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Градостроительная деятельность (0910299990)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</si>
  <si>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</si>
  <si>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(1700182370, 17001S2370)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</si>
  <si>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</si>
  <si>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</si>
  <si>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</si>
  <si>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</si>
  <si>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</si>
  <si>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</si>
  <si>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</si>
  <si>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09101S2172) 01.40.36 и 01.02.00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</si>
  <si>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</si>
  <si>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Капитальный ремонт жилого фонда 1040442120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</si>
  <si>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</si>
  <si>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водоотведение, услуги бани)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</si>
  <si>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</si>
  <si>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</si>
  <si>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</si>
  <si>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</si>
  <si>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(1010182590) ОЗП доля поселения 10101S2590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</si>
  <si>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</si>
  <si>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</si>
  <si>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</si>
  <si>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</si>
  <si>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</si>
  <si>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(0600299990)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</si>
  <si>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</si>
  <si>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(10601R5550, 10601S5550)</t>
  </si>
  <si>
    <t>Субсидии на благоустройство территорий муниципальных образований (1060182600,  10601S2600)</t>
  </si>
  <si>
    <t>Внешнее благоустройство 1060182600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</si>
  <si>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</si>
  <si>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</si>
  <si>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</si>
  <si>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</si>
  <si>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</si>
  <si>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</si>
  <si>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</si>
  <si>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</si>
  <si>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</si>
  <si>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</si>
  <si>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</si>
  <si>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</si>
  <si>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</si>
  <si>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</si>
  <si>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</si>
  <si>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</si>
  <si>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</si>
  <si>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</si>
  <si>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</si>
  <si>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</si>
  <si>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</si>
  <si>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</si>
  <si>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</si>
  <si>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</si>
  <si>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</si>
  <si>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</si>
  <si>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</si>
  <si>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</si>
  <si>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</si>
  <si>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</si>
  <si>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</si>
  <si>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</si>
  <si>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</si>
  <si>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(1800582010, 18005S2010)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</si>
  <si>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</si>
  <si>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</si>
  <si>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</si>
  <si>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</si>
  <si>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</si>
  <si>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(09201R4970 о/б, 0920154970 ф/б, 09201S4970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</si>
  <si>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</si>
  <si>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</si>
  <si>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</si>
  <si>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</si>
  <si>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</si>
  <si>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</si>
  <si>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</si>
  <si>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</si>
  <si>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</si>
  <si>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</si>
  <si>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</si>
  <si>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</si>
  <si>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</si>
  <si>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</si>
  <si>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</si>
  <si>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</si>
  <si>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</si>
  <si>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</si>
  <si>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</si>
  <si>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</si>
  <si>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</si>
  <si>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</si>
  <si>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Заворотынская Н.А.</t>
  </si>
  <si>
    <t>И.о. заведующего бюджетным отделом</t>
  </si>
  <si>
    <t>Колыгина Я.М.</t>
  </si>
  <si>
    <t>Заведующий отделом  доходов</t>
  </si>
  <si>
    <t>Мартюшова О.Г.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</si>
</sst>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</numFmts>
  <fonts count="59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76" fontId="7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6" fontId="5" fillId="0" borderId="16" xfId="0" applyNumberFormat="1" applyFont="1" applyFill="1" applyBorder="1" applyAlignment="1">
      <alignment horizontal="right" vertical="top"/>
    </xf>
    <xf numFmtId="176" fontId="5" fillId="0" borderId="16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 shrinkToFit="1"/>
    </xf>
    <xf numFmtId="176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76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76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76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176" fontId="4" fillId="0" borderId="16" xfId="0" applyNumberFormat="1" applyFont="1" applyFill="1" applyBorder="1" applyAlignment="1">
      <alignment horizontal="right" vertical="top"/>
    </xf>
    <xf numFmtId="176" fontId="2" fillId="0" borderId="16" xfId="0" applyNumberFormat="1" applyFont="1" applyFill="1" applyBorder="1" applyAlignment="1">
      <alignment horizontal="right" vertical="top" wrapText="1"/>
    </xf>
    <xf numFmtId="176" fontId="4" fillId="0" borderId="12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77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6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0" fontId="0" fillId="33" borderId="0" xfId="0" applyFill="1" applyAlignment="1">
      <alignment horizontal="right"/>
    </xf>
    <xf numFmtId="176" fontId="2" fillId="0" borderId="16" xfId="0" applyNumberFormat="1" applyFont="1" applyFill="1" applyBorder="1" applyAlignment="1">
      <alignment vertical="top" wrapText="1"/>
    </xf>
    <xf numFmtId="176" fontId="0" fillId="0" borderId="0" xfId="0" applyNumberFormat="1" applyFill="1" applyAlignment="1">
      <alignment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76" fontId="2" fillId="0" borderId="14" xfId="0" applyNumberFormat="1" applyFont="1" applyFill="1" applyBorder="1" applyAlignment="1">
      <alignment vertical="top" wrapText="1"/>
    </xf>
    <xf numFmtId="176" fontId="5" fillId="0" borderId="14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vertical="top" wrapText="1" shrinkToFit="1"/>
    </xf>
    <xf numFmtId="49" fontId="2" fillId="0" borderId="16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vertical="top"/>
    </xf>
    <xf numFmtId="176" fontId="2" fillId="0" borderId="14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6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6" fontId="1" fillId="0" borderId="16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top"/>
    </xf>
    <xf numFmtId="176" fontId="2" fillId="0" borderId="15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vertical="top" wrapText="1"/>
    </xf>
    <xf numFmtId="176" fontId="2" fillId="0" borderId="15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76" fontId="4" fillId="0" borderId="20" xfId="0" applyNumberFormat="1" applyFont="1" applyFill="1" applyBorder="1" applyAlignment="1">
      <alignment horizontal="center" vertical="top"/>
    </xf>
    <xf numFmtId="176" fontId="4" fillId="0" borderId="21" xfId="0" applyNumberFormat="1" applyFont="1" applyFill="1" applyBorder="1" applyAlignment="1">
      <alignment horizontal="center" vertical="top"/>
    </xf>
    <xf numFmtId="170" fontId="2" fillId="0" borderId="10" xfId="42" applyFont="1" applyFill="1" applyBorder="1" applyAlignment="1">
      <alignment horizontal="center" vertical="top" wrapText="1"/>
    </xf>
    <xf numFmtId="170" fontId="2" fillId="0" borderId="20" xfId="42" applyFont="1" applyFill="1" applyBorder="1" applyAlignment="1">
      <alignment horizontal="center" vertical="top" wrapText="1"/>
    </xf>
    <xf numFmtId="170" fontId="2" fillId="0" borderId="21" xfId="42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79" fontId="57" fillId="0" borderId="0" xfId="53" applyNumberFormat="1" applyFont="1" applyFill="1" applyAlignment="1">
      <alignment horizontal="center" vertical="center" wrapText="1"/>
      <protection/>
    </xf>
    <xf numFmtId="179" fontId="28" fillId="0" borderId="0" xfId="53" applyNumberFormat="1" applyFont="1" applyFill="1" applyBorder="1" applyAlignment="1">
      <alignment horizontal="center" vertical="center" wrapText="1"/>
      <protection/>
    </xf>
    <xf numFmtId="179" fontId="28" fillId="0" borderId="0" xfId="53" applyNumberFormat="1" applyFont="1" applyFill="1" applyAlignment="1">
      <alignment horizontal="center" vertical="center" wrapText="1"/>
      <protection/>
    </xf>
    <xf numFmtId="179" fontId="28" fillId="0" borderId="0" xfId="0" applyNumberFormat="1" applyFont="1" applyFill="1" applyAlignment="1">
      <alignment horizontal="center" vertical="center" wrapText="1"/>
    </xf>
    <xf numFmtId="179" fontId="28" fillId="0" borderId="0" xfId="0" applyNumberFormat="1" applyFont="1" applyAlignment="1">
      <alignment horizontal="center" vertical="center" wrapText="1"/>
    </xf>
    <xf numFmtId="179" fontId="29" fillId="0" borderId="0" xfId="0" applyNumberFormat="1" applyFont="1" applyFill="1" applyAlignment="1">
      <alignment horizontal="center" vertical="center" wrapText="1"/>
    </xf>
    <xf numFmtId="179" fontId="29" fillId="0" borderId="0" xfId="0" applyNumberFormat="1" applyFont="1" applyAlignment="1">
      <alignment horizontal="center" vertical="center" wrapText="1"/>
    </xf>
    <xf numFmtId="49" fontId="30" fillId="0" borderId="22" xfId="53" applyNumberFormat="1" applyFont="1" applyBorder="1" applyAlignment="1">
      <alignment horizontal="center" vertical="center" wrapText="1"/>
      <protection/>
    </xf>
    <xf numFmtId="0" fontId="30" fillId="0" borderId="23" xfId="53" applyNumberFormat="1" applyFont="1" applyBorder="1" applyAlignment="1">
      <alignment horizontal="center" vertical="center" wrapText="1"/>
      <protection/>
    </xf>
    <xf numFmtId="179" fontId="31" fillId="0" borderId="23" xfId="53" applyNumberFormat="1" applyFont="1" applyFill="1" applyBorder="1" applyAlignment="1">
      <alignment horizontal="center" vertical="center" wrapText="1"/>
      <protection/>
    </xf>
    <xf numFmtId="179" fontId="31" fillId="0" borderId="23" xfId="0" applyNumberFormat="1" applyFont="1" applyBorder="1" applyAlignment="1">
      <alignment horizontal="center" vertical="center" wrapText="1"/>
    </xf>
    <xf numFmtId="179" fontId="32" fillId="0" borderId="23" xfId="0" applyNumberFormat="1" applyFont="1" applyFill="1" applyBorder="1" applyAlignment="1">
      <alignment horizontal="center" vertical="center" wrapText="1"/>
    </xf>
    <xf numFmtId="179" fontId="32" fillId="0" borderId="24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30" fillId="0" borderId="16" xfId="53" applyNumberFormat="1" applyFont="1" applyBorder="1" applyAlignment="1">
      <alignment horizontal="center" vertical="center" wrapText="1"/>
      <protection/>
    </xf>
    <xf numFmtId="179" fontId="31" fillId="0" borderId="16" xfId="53" applyNumberFormat="1" applyFont="1" applyFill="1" applyBorder="1" applyAlignment="1">
      <alignment horizontal="center" vertical="center" wrapText="1"/>
      <protection/>
    </xf>
    <xf numFmtId="179" fontId="31" fillId="0" borderId="16" xfId="53" applyNumberFormat="1" applyFont="1" applyBorder="1" applyAlignment="1">
      <alignment horizontal="center" vertical="center" wrapText="1"/>
      <protection/>
    </xf>
    <xf numFmtId="179" fontId="32" fillId="0" borderId="16" xfId="53" applyNumberFormat="1" applyFont="1" applyFill="1" applyBorder="1" applyAlignment="1">
      <alignment horizontal="center" vertical="center" wrapText="1"/>
      <protection/>
    </xf>
    <xf numFmtId="179" fontId="32" fillId="0" borderId="16" xfId="53" applyNumberFormat="1" applyFont="1" applyBorder="1" applyAlignment="1">
      <alignment horizontal="center" vertical="center" wrapText="1"/>
      <protection/>
    </xf>
    <xf numFmtId="179" fontId="32" fillId="0" borderId="26" xfId="53" applyNumberFormat="1" applyFont="1" applyBorder="1" applyAlignment="1">
      <alignment horizontal="center" vertical="center" wrapText="1"/>
      <protection/>
    </xf>
    <xf numFmtId="179" fontId="31" fillId="0" borderId="16" xfId="0" applyNumberFormat="1" applyFont="1" applyBorder="1" applyAlignment="1">
      <alignment horizontal="center" vertical="center" wrapText="1"/>
    </xf>
    <xf numFmtId="179" fontId="33" fillId="0" borderId="16" xfId="0" applyNumberFormat="1" applyFont="1" applyBorder="1" applyAlignment="1">
      <alignment horizontal="center" vertical="center"/>
    </xf>
    <xf numFmtId="179" fontId="32" fillId="0" borderId="16" xfId="0" applyNumberFormat="1" applyFont="1" applyBorder="1" applyAlignment="1">
      <alignment horizontal="center" vertical="center" wrapText="1"/>
    </xf>
    <xf numFmtId="179" fontId="32" fillId="0" borderId="26" xfId="0" applyNumberFormat="1" applyFont="1" applyBorder="1" applyAlignment="1">
      <alignment horizontal="center" vertical="center" wrapText="1"/>
    </xf>
    <xf numFmtId="0" fontId="34" fillId="0" borderId="16" xfId="53" applyNumberFormat="1" applyFont="1" applyFill="1" applyBorder="1" applyAlignment="1">
      <alignment horizontal="center" vertical="center" wrapText="1"/>
      <protection/>
    </xf>
    <xf numFmtId="0" fontId="34" fillId="0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79" fontId="32" fillId="34" borderId="16" xfId="53" applyNumberFormat="1" applyFont="1" applyFill="1" applyBorder="1" applyAlignment="1">
      <alignment horizontal="center" vertical="center" wrapText="1"/>
      <protection/>
    </xf>
    <xf numFmtId="179" fontId="31" fillId="34" borderId="16" xfId="0" applyNumberFormat="1" applyFont="1" applyFill="1" applyBorder="1" applyAlignment="1">
      <alignment horizontal="center" vertical="center" wrapText="1"/>
    </xf>
    <xf numFmtId="179" fontId="32" fillId="34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 quotePrefix="1">
      <alignment horizontal="center" vertical="center" wrapText="1"/>
      <protection/>
    </xf>
    <xf numFmtId="0" fontId="30" fillId="0" borderId="16" xfId="53" applyNumberFormat="1" applyFont="1" applyFill="1" applyBorder="1" applyAlignment="1">
      <alignment horizontal="left" vertical="center" wrapText="1"/>
      <protection/>
    </xf>
    <xf numFmtId="179" fontId="31" fillId="0" borderId="16" xfId="53" applyNumberFormat="1" applyFont="1" applyFill="1" applyBorder="1" applyAlignment="1">
      <alignment horizontal="center" vertical="center" wrapText="1"/>
      <protection/>
    </xf>
    <xf numFmtId="179" fontId="31" fillId="0" borderId="16" xfId="0" applyNumberFormat="1" applyFont="1" applyFill="1" applyBorder="1" applyAlignment="1">
      <alignment horizontal="center" vertical="center" wrapText="1"/>
    </xf>
    <xf numFmtId="179" fontId="32" fillId="0" borderId="16" xfId="0" applyNumberFormat="1" applyFont="1" applyFill="1" applyBorder="1" applyAlignment="1">
      <alignment horizontal="center" vertical="center" wrapText="1"/>
    </xf>
    <xf numFmtId="179" fontId="32" fillId="0" borderId="16" xfId="0" applyNumberFormat="1" applyFont="1" applyBorder="1" applyAlignment="1">
      <alignment horizontal="center" vertical="center" wrapText="1"/>
    </xf>
    <xf numFmtId="179" fontId="32" fillId="0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>
      <alignment horizontal="center" vertical="center" wrapText="1"/>
      <protection/>
    </xf>
    <xf numFmtId="179" fontId="31" fillId="34" borderId="16" xfId="53" applyNumberFormat="1" applyFont="1" applyFill="1" applyBorder="1" applyAlignment="1">
      <alignment horizontal="center" vertical="center" wrapText="1"/>
      <protection/>
    </xf>
    <xf numFmtId="179" fontId="32" fillId="34" borderId="26" xfId="53" applyNumberFormat="1" applyFont="1" applyFill="1" applyBorder="1" applyAlignment="1">
      <alignment horizontal="center" vertical="center" wrapText="1"/>
      <protection/>
    </xf>
    <xf numFmtId="179" fontId="31" fillId="33" borderId="1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6" xfId="53" applyNumberFormat="1" applyFont="1" applyFill="1" applyBorder="1" applyAlignment="1">
      <alignment horizontal="left" vertical="center" wrapText="1"/>
      <protection/>
    </xf>
    <xf numFmtId="179" fontId="32" fillId="35" borderId="16" xfId="53" applyNumberFormat="1" applyFont="1" applyFill="1" applyBorder="1" applyAlignment="1">
      <alignment horizontal="center" vertical="center" wrapText="1"/>
      <protection/>
    </xf>
    <xf numFmtId="0" fontId="30" fillId="36" borderId="16" xfId="53" applyNumberFormat="1" applyFont="1" applyFill="1" applyBorder="1" applyAlignment="1">
      <alignment horizontal="left" vertical="center" wrapText="1"/>
      <protection/>
    </xf>
    <xf numFmtId="179" fontId="32" fillId="33" borderId="16" xfId="0" applyNumberFormat="1" applyFont="1" applyFill="1" applyBorder="1" applyAlignment="1">
      <alignment horizontal="center" vertical="center" wrapText="1"/>
    </xf>
    <xf numFmtId="0" fontId="31" fillId="0" borderId="16" xfId="52" applyNumberFormat="1" applyFont="1" applyFill="1" applyBorder="1" applyAlignment="1" applyProtection="1">
      <alignment horizontal="left" vertical="center" wrapText="1"/>
      <protection hidden="1"/>
    </xf>
    <xf numFmtId="179" fontId="31" fillId="33" borderId="16" xfId="0" applyNumberFormat="1" applyFont="1" applyFill="1" applyBorder="1" applyAlignment="1">
      <alignment horizontal="center" vertical="center" wrapText="1"/>
    </xf>
    <xf numFmtId="179" fontId="32" fillId="35" borderId="16" xfId="53" applyNumberFormat="1" applyFont="1" applyFill="1" applyBorder="1" applyAlignment="1">
      <alignment horizontal="center" vertical="center" wrapText="1"/>
      <protection/>
    </xf>
    <xf numFmtId="179" fontId="32" fillId="34" borderId="16" xfId="0" applyNumberFormat="1" applyFont="1" applyFill="1" applyBorder="1" applyAlignment="1">
      <alignment horizontal="center" vertical="center" wrapText="1"/>
    </xf>
    <xf numFmtId="0" fontId="36" fillId="0" borderId="16" xfId="53" applyNumberFormat="1" applyFont="1" applyFill="1" applyBorder="1" applyAlignment="1">
      <alignment horizontal="left" vertical="center" wrapText="1"/>
      <protection/>
    </xf>
    <xf numFmtId="0" fontId="32" fillId="0" borderId="26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77" fontId="32" fillId="0" borderId="26" xfId="0" applyNumberFormat="1" applyFont="1" applyFill="1" applyBorder="1" applyAlignment="1">
      <alignment horizontal="center" vertical="center" wrapText="1"/>
    </xf>
    <xf numFmtId="49" fontId="34" fillId="34" borderId="25" xfId="53" applyNumberFormat="1" applyFont="1" applyFill="1" applyBorder="1" applyAlignment="1">
      <alignment horizontal="center" vertical="center" wrapText="1"/>
      <protection/>
    </xf>
    <xf numFmtId="0" fontId="34" fillId="34" borderId="16" xfId="0" applyNumberFormat="1" applyFont="1" applyFill="1" applyBorder="1" applyAlignment="1">
      <alignment horizontal="left" vertical="center" wrapText="1"/>
    </xf>
    <xf numFmtId="179" fontId="31" fillId="35" borderId="16" xfId="53" applyNumberFormat="1" applyFont="1" applyFill="1" applyBorder="1" applyAlignment="1">
      <alignment horizontal="center" vertical="center" wrapText="1"/>
      <protection/>
    </xf>
    <xf numFmtId="0" fontId="30" fillId="0" borderId="16" xfId="0" applyNumberFormat="1" applyFont="1" applyFill="1" applyBorder="1" applyAlignment="1">
      <alignment horizontal="left" vertical="center" wrapText="1"/>
    </xf>
    <xf numFmtId="49" fontId="31" fillId="0" borderId="25" xfId="53" applyNumberFormat="1" applyFont="1" applyFill="1" applyBorder="1" applyAlignment="1">
      <alignment horizontal="center" vertical="center" wrapText="1"/>
      <protection/>
    </xf>
    <xf numFmtId="0" fontId="31" fillId="0" borderId="16" xfId="53" applyNumberFormat="1" applyFont="1" applyFill="1" applyBorder="1" applyAlignment="1">
      <alignment horizontal="left" vertical="center" wrapText="1"/>
      <protection/>
    </xf>
    <xf numFmtId="179" fontId="31" fillId="35" borderId="16" xfId="0" applyNumberFormat="1" applyFont="1" applyFill="1" applyBorder="1" applyAlignment="1">
      <alignment horizontal="center" vertical="center" wrapText="1"/>
    </xf>
    <xf numFmtId="0" fontId="37" fillId="6" borderId="27" xfId="53" applyNumberFormat="1" applyFont="1" applyFill="1" applyBorder="1" applyAlignment="1">
      <alignment horizontal="center" vertical="center" wrapText="1"/>
      <protection/>
    </xf>
    <xf numFmtId="0" fontId="37" fillId="6" borderId="28" xfId="53" applyNumberFormat="1" applyFont="1" applyFill="1" applyBorder="1" applyAlignment="1">
      <alignment horizontal="center" vertical="center" wrapText="1"/>
      <protection/>
    </xf>
    <xf numFmtId="179" fontId="32" fillId="35" borderId="28" xfId="53" applyNumberFormat="1" applyFont="1" applyFill="1" applyBorder="1" applyAlignment="1">
      <alignment horizontal="center" vertical="center" wrapText="1"/>
      <protection/>
    </xf>
    <xf numFmtId="179" fontId="32" fillId="35" borderId="28" xfId="0" applyNumberFormat="1" applyFont="1" applyFill="1" applyBorder="1" applyAlignment="1">
      <alignment horizontal="center" vertical="center" wrapText="1"/>
    </xf>
    <xf numFmtId="179" fontId="32" fillId="35" borderId="29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79" fontId="57" fillId="0" borderId="0" xfId="53" applyNumberFormat="1" applyFont="1" applyFill="1" applyBorder="1" applyAlignment="1">
      <alignment horizontal="center" vertical="center" wrapText="1"/>
      <protection/>
    </xf>
    <xf numFmtId="179" fontId="29" fillId="0" borderId="0" xfId="5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79" fontId="57" fillId="0" borderId="0" xfId="0" applyNumberFormat="1" applyFont="1" applyFill="1" applyBorder="1" applyAlignment="1">
      <alignment horizontal="center" vertical="center" wrapText="1"/>
    </xf>
    <xf numFmtId="179" fontId="28" fillId="0" borderId="0" xfId="0" applyNumberFormat="1" applyFont="1" applyFill="1" applyBorder="1" applyAlignment="1">
      <alignment horizontal="center" vertical="center" wrapText="1"/>
    </xf>
    <xf numFmtId="0" fontId="36" fillId="0" borderId="0" xfId="53" applyNumberFormat="1" applyFont="1" applyFill="1" applyBorder="1" applyAlignment="1">
      <alignment horizontal="right" vertical="center" wrapText="1"/>
      <protection/>
    </xf>
    <xf numFmtId="179" fontId="38" fillId="0" borderId="0" xfId="0" applyNumberFormat="1" applyFont="1" applyFill="1" applyAlignment="1">
      <alignment horizontal="center" vertical="center" wrapText="1"/>
    </xf>
    <xf numFmtId="179" fontId="38" fillId="0" borderId="0" xfId="0" applyNumberFormat="1" applyFont="1" applyAlignment="1">
      <alignment horizontal="center" vertical="center" wrapText="1"/>
    </xf>
    <xf numFmtId="179" fontId="38" fillId="0" borderId="15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left" vertical="center" wrapText="1"/>
      <protection/>
    </xf>
    <xf numFmtId="49" fontId="36" fillId="0" borderId="0" xfId="0" applyNumberFormat="1" applyFont="1" applyFill="1" applyBorder="1" applyAlignment="1">
      <alignment horizontal="right" vertical="center" wrapText="1"/>
    </xf>
    <xf numFmtId="0" fontId="36" fillId="0" borderId="0" xfId="53" applyNumberFormat="1" applyFont="1" applyFill="1" applyBorder="1" applyAlignment="1">
      <alignment horizontal="left" vertical="center" wrapText="1"/>
      <protection/>
    </xf>
    <xf numFmtId="179" fontId="58" fillId="0" borderId="0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center" vertical="center" wrapText="1"/>
      <protection/>
    </xf>
    <xf numFmtId="179" fontId="38" fillId="0" borderId="0" xfId="0" applyNumberFormat="1" applyFont="1" applyFill="1" applyBorder="1" applyAlignment="1">
      <alignment horizontal="left" vertical="center" wrapText="1"/>
    </xf>
    <xf numFmtId="179" fontId="38" fillId="0" borderId="0" xfId="0" applyNumberFormat="1" applyFont="1" applyFill="1" applyAlignment="1">
      <alignment horizontal="left" vertical="center" wrapText="1"/>
    </xf>
    <xf numFmtId="179" fontId="38" fillId="0" borderId="15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179" fontId="58" fillId="0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179" fontId="5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5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C27" sqref="C27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60.375" style="1" customWidth="1"/>
    <col min="4" max="4" width="10.375" style="1" customWidth="1"/>
    <col min="5" max="5" width="11.125" style="1" customWidth="1"/>
    <col min="6" max="6" width="10.625" style="1" customWidth="1"/>
    <col min="7" max="7" width="14.375" style="1" hidden="1" customWidth="1"/>
    <col min="8" max="8" width="10.375" style="1" hidden="1" customWidth="1"/>
    <col min="9" max="9" width="13.75390625" style="1" hidden="1" customWidth="1"/>
    <col min="10" max="10" width="12.625" style="1" hidden="1" customWidth="1" outlineLevel="1"/>
    <col min="11" max="11" width="11.00390625" style="1" customWidth="1" collapsed="1"/>
    <col min="12" max="12" width="10.25390625" style="1" hidden="1" customWidth="1"/>
    <col min="13" max="13" width="7.00390625" style="1" hidden="1" customWidth="1"/>
    <col min="14" max="14" width="9.125" style="1" hidden="1" customWidth="1"/>
    <col min="15" max="15" width="14.25390625" style="1" hidden="1" customWidth="1"/>
    <col min="16" max="16" width="7.25390625" style="1" hidden="1" customWidth="1"/>
    <col min="17" max="17" width="8.25390625" style="1" customWidth="1"/>
    <col min="18" max="18" width="8.00390625" style="1" customWidth="1"/>
    <col min="19" max="16384" width="9.125" style="1" customWidth="1"/>
  </cols>
  <sheetData>
    <row r="1" spans="1:19" ht="12.75">
      <c r="A1" s="105" t="s">
        <v>86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3" ht="9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4.25" customHeight="1">
      <c r="A3" s="11"/>
      <c r="B3" s="11"/>
      <c r="C3" s="12"/>
      <c r="D3" s="12"/>
      <c r="E3" s="12"/>
      <c r="F3" s="12"/>
      <c r="G3" s="12"/>
      <c r="H3" s="12"/>
      <c r="I3" s="13"/>
      <c r="J3" s="13"/>
      <c r="K3" s="59" t="s">
        <v>69</v>
      </c>
      <c r="L3" s="13"/>
      <c r="M3" s="13"/>
    </row>
    <row r="4" spans="1:19" ht="12.75" customHeight="1">
      <c r="A4" s="14" t="s">
        <v>41</v>
      </c>
      <c r="B4" s="14"/>
      <c r="C4" s="15"/>
      <c r="D4" s="90" t="s">
        <v>83</v>
      </c>
      <c r="E4" s="90" t="s">
        <v>82</v>
      </c>
      <c r="F4" s="90" t="s">
        <v>81</v>
      </c>
      <c r="G4" s="93" t="s">
        <v>72</v>
      </c>
      <c r="H4" s="93" t="s">
        <v>73</v>
      </c>
      <c r="I4" s="93" t="s">
        <v>74</v>
      </c>
      <c r="J4" s="93" t="s">
        <v>75</v>
      </c>
      <c r="K4" s="90" t="s">
        <v>87</v>
      </c>
      <c r="L4" s="90" t="s">
        <v>76</v>
      </c>
      <c r="M4" s="90" t="s">
        <v>77</v>
      </c>
      <c r="N4" s="90" t="s">
        <v>78</v>
      </c>
      <c r="O4" s="90" t="s">
        <v>79</v>
      </c>
      <c r="P4" s="90" t="s">
        <v>80</v>
      </c>
      <c r="Q4" s="90" t="s">
        <v>88</v>
      </c>
      <c r="R4" s="90" t="s">
        <v>84</v>
      </c>
      <c r="S4" s="90" t="s">
        <v>85</v>
      </c>
    </row>
    <row r="5" spans="1:19" ht="27.75" customHeight="1">
      <c r="A5" s="16" t="s">
        <v>46</v>
      </c>
      <c r="B5" s="16"/>
      <c r="C5" s="17" t="s">
        <v>16</v>
      </c>
      <c r="D5" s="91"/>
      <c r="E5" s="91"/>
      <c r="F5" s="91"/>
      <c r="G5" s="94"/>
      <c r="H5" s="94"/>
      <c r="I5" s="94"/>
      <c r="J5" s="94"/>
      <c r="K5" s="91"/>
      <c r="L5" s="91"/>
      <c r="M5" s="91"/>
      <c r="N5" s="91"/>
      <c r="O5" s="91"/>
      <c r="P5" s="91"/>
      <c r="Q5" s="91"/>
      <c r="R5" s="91"/>
      <c r="S5" s="91"/>
    </row>
    <row r="6" spans="1:19" ht="39.75" customHeight="1">
      <c r="A6" s="16"/>
      <c r="B6" s="16"/>
      <c r="C6" s="17"/>
      <c r="D6" s="92"/>
      <c r="E6" s="92"/>
      <c r="F6" s="92"/>
      <c r="G6" s="95"/>
      <c r="H6" s="95"/>
      <c r="I6" s="95"/>
      <c r="J6" s="95"/>
      <c r="K6" s="92"/>
      <c r="L6" s="92"/>
      <c r="M6" s="92"/>
      <c r="N6" s="92"/>
      <c r="O6" s="92"/>
      <c r="P6" s="92"/>
      <c r="Q6" s="92"/>
      <c r="R6" s="92"/>
      <c r="S6" s="92"/>
    </row>
    <row r="7" spans="1:19" ht="12.75">
      <c r="A7" s="87" t="s">
        <v>24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ht="12.75">
      <c r="A8" s="62" t="s">
        <v>3</v>
      </c>
      <c r="B8" s="62"/>
      <c r="C8" s="63" t="s">
        <v>68</v>
      </c>
      <c r="D8" s="43">
        <f aca="true" t="shared" si="0" ref="D8:J8">D9+D11+D12+D13+D15+D16+D18+D20+D14+D21+D17+D19+D10</f>
        <v>766549.3999999999</v>
      </c>
      <c r="E8" s="43">
        <f t="shared" si="0"/>
        <v>766549.4</v>
      </c>
      <c r="F8" s="43">
        <f t="shared" si="0"/>
        <v>391326.8</v>
      </c>
      <c r="G8" s="43">
        <f t="shared" si="0"/>
        <v>180328.9</v>
      </c>
      <c r="H8" s="43">
        <f t="shared" si="0"/>
        <v>210997.90000000005</v>
      </c>
      <c r="I8" s="43">
        <f t="shared" si="0"/>
        <v>177123.70000000004</v>
      </c>
      <c r="J8" s="43">
        <f t="shared" si="0"/>
        <v>198098.89999999997</v>
      </c>
      <c r="K8" s="43">
        <f>K9+K11+K12+K13+K15+K16+K18+K20+K14+K21+K17+K19+K10+0.1</f>
        <v>367646.4</v>
      </c>
      <c r="L8" s="43" t="e">
        <f>L9+L11+L12+L13+L15+L16+L18+L20+L14+L21+L17+L19</f>
        <v>#REF!</v>
      </c>
      <c r="M8" s="43">
        <f aca="true" t="shared" si="1" ref="M8:M20">K8/I8*100</f>
        <v>207.56476970614318</v>
      </c>
      <c r="N8" s="64"/>
      <c r="O8" s="64"/>
      <c r="P8" s="43">
        <f>K8*100/J8</f>
        <v>185.58730008091922</v>
      </c>
      <c r="Q8" s="43">
        <f>K8*100/F8</f>
        <v>93.9486894329752</v>
      </c>
      <c r="R8" s="31">
        <f>K8*100/E8</f>
        <v>47.96121424137831</v>
      </c>
      <c r="S8" s="31">
        <f>K8*100/D8</f>
        <v>47.961214241378315</v>
      </c>
    </row>
    <row r="9" spans="1:19" ht="12.75">
      <c r="A9" s="19" t="s">
        <v>23</v>
      </c>
      <c r="B9" s="19"/>
      <c r="C9" s="65" t="s">
        <v>22</v>
      </c>
      <c r="D9" s="66">
        <v>583323.2</v>
      </c>
      <c r="E9" s="66">
        <f>G9+H9+I9+J9</f>
        <v>583323.2000000001</v>
      </c>
      <c r="F9" s="66">
        <f>G9+H9</f>
        <v>298036.2</v>
      </c>
      <c r="G9" s="66">
        <v>135991.1</v>
      </c>
      <c r="H9" s="66">
        <v>162045.1</v>
      </c>
      <c r="I9" s="27">
        <v>131909.6</v>
      </c>
      <c r="J9" s="67">
        <v>153377.4</v>
      </c>
      <c r="K9" s="67">
        <v>263567.7</v>
      </c>
      <c r="L9" s="27" t="e">
        <f>K9/#REF!*100</f>
        <v>#REF!</v>
      </c>
      <c r="M9" s="27">
        <f t="shared" si="1"/>
        <v>199.8093391231571</v>
      </c>
      <c r="N9" s="57"/>
      <c r="O9" s="57"/>
      <c r="P9" s="27">
        <f aca="true" t="shared" si="2" ref="P9:P80">K9*100/J9</f>
        <v>171.8425921941564</v>
      </c>
      <c r="Q9" s="27">
        <f aca="true" t="shared" si="3" ref="Q9:Q77">K9*100/F9</f>
        <v>88.4347941625883</v>
      </c>
      <c r="R9" s="67">
        <f aca="true" t="shared" si="4" ref="R9:R77">K9*100/E9</f>
        <v>45.18381919320198</v>
      </c>
      <c r="S9" s="25">
        <f aca="true" t="shared" si="5" ref="S9:S72">K9*100/D9</f>
        <v>45.18381919320199</v>
      </c>
    </row>
    <row r="10" spans="1:19" ht="12.75">
      <c r="A10" s="19" t="s">
        <v>70</v>
      </c>
      <c r="B10" s="19"/>
      <c r="C10" s="35" t="s">
        <v>71</v>
      </c>
      <c r="D10" s="60">
        <v>4437.4</v>
      </c>
      <c r="E10" s="60">
        <f aca="true" t="shared" si="6" ref="E10:E26">G10+H10+I10+J10</f>
        <v>4437.4</v>
      </c>
      <c r="F10" s="66">
        <f aca="true" t="shared" si="7" ref="F10:F26">G10+H10</f>
        <v>2218</v>
      </c>
      <c r="G10" s="60">
        <v>1108.9</v>
      </c>
      <c r="H10" s="60">
        <v>1109.1</v>
      </c>
      <c r="I10" s="24">
        <v>1109.1</v>
      </c>
      <c r="J10" s="25">
        <v>1110.3</v>
      </c>
      <c r="K10" s="25">
        <v>1959.3</v>
      </c>
      <c r="L10" s="27"/>
      <c r="M10" s="27"/>
      <c r="N10" s="57"/>
      <c r="O10" s="57"/>
      <c r="P10" s="24"/>
      <c r="Q10" s="27">
        <f t="shared" si="3"/>
        <v>88.33633904418394</v>
      </c>
      <c r="R10" s="25">
        <f t="shared" si="4"/>
        <v>44.15423446162168</v>
      </c>
      <c r="S10" s="25">
        <f t="shared" si="5"/>
        <v>44.15423446162168</v>
      </c>
    </row>
    <row r="11" spans="1:19" ht="12.75">
      <c r="A11" s="19" t="s">
        <v>8</v>
      </c>
      <c r="B11" s="19"/>
      <c r="C11" s="35" t="s">
        <v>5</v>
      </c>
      <c r="D11" s="60">
        <v>38473</v>
      </c>
      <c r="E11" s="60">
        <f t="shared" si="6"/>
        <v>38473</v>
      </c>
      <c r="F11" s="66">
        <f t="shared" si="7"/>
        <v>21243.8</v>
      </c>
      <c r="G11" s="60">
        <v>8888.4</v>
      </c>
      <c r="H11" s="60">
        <v>12355.4</v>
      </c>
      <c r="I11" s="24">
        <v>8820.4</v>
      </c>
      <c r="J11" s="25">
        <v>8408.8</v>
      </c>
      <c r="K11" s="25">
        <v>30138.8</v>
      </c>
      <c r="L11" s="27" t="e">
        <f>K11/#REF!*100</f>
        <v>#REF!</v>
      </c>
      <c r="M11" s="27">
        <f t="shared" si="1"/>
        <v>341.6942542288332</v>
      </c>
      <c r="N11" s="57"/>
      <c r="O11" s="57"/>
      <c r="P11" s="24">
        <f t="shared" si="2"/>
        <v>358.41975073732283</v>
      </c>
      <c r="Q11" s="27">
        <f t="shared" si="3"/>
        <v>141.8710400210885</v>
      </c>
      <c r="R11" s="25">
        <f t="shared" si="4"/>
        <v>78.33753541444649</v>
      </c>
      <c r="S11" s="25">
        <f t="shared" si="5"/>
        <v>78.33753541444649</v>
      </c>
    </row>
    <row r="12" spans="1:19" ht="12.75">
      <c r="A12" s="19" t="s">
        <v>9</v>
      </c>
      <c r="B12" s="19"/>
      <c r="C12" s="35" t="s">
        <v>6</v>
      </c>
      <c r="D12" s="60">
        <v>4052</v>
      </c>
      <c r="E12" s="60">
        <f t="shared" si="6"/>
        <v>4052</v>
      </c>
      <c r="F12" s="66">
        <f t="shared" si="7"/>
        <v>1950</v>
      </c>
      <c r="G12" s="60">
        <v>975</v>
      </c>
      <c r="H12" s="60">
        <v>975</v>
      </c>
      <c r="I12" s="24">
        <v>975</v>
      </c>
      <c r="J12" s="25">
        <v>1127</v>
      </c>
      <c r="K12" s="25">
        <v>-6.1</v>
      </c>
      <c r="L12" s="27" t="e">
        <f>K12/#REF!*100</f>
        <v>#REF!</v>
      </c>
      <c r="M12" s="27">
        <f t="shared" si="1"/>
        <v>-0.6256410256410256</v>
      </c>
      <c r="N12" s="57"/>
      <c r="O12" s="57"/>
      <c r="P12" s="24">
        <f t="shared" si="2"/>
        <v>-0.541259982253771</v>
      </c>
      <c r="Q12" s="27">
        <f t="shared" si="3"/>
        <v>-0.3128205128205128</v>
      </c>
      <c r="R12" s="25">
        <f t="shared" si="4"/>
        <v>-0.15054294175715696</v>
      </c>
      <c r="S12" s="25">
        <f t="shared" si="5"/>
        <v>-0.15054294175715696</v>
      </c>
    </row>
    <row r="13" spans="1:19" ht="12.75">
      <c r="A13" s="19" t="s">
        <v>10</v>
      </c>
      <c r="B13" s="19"/>
      <c r="C13" s="35" t="s">
        <v>21</v>
      </c>
      <c r="D13" s="60">
        <v>3794</v>
      </c>
      <c r="E13" s="60">
        <f t="shared" si="6"/>
        <v>3794</v>
      </c>
      <c r="F13" s="66">
        <f t="shared" si="7"/>
        <v>1896.2</v>
      </c>
      <c r="G13" s="60">
        <v>948.1</v>
      </c>
      <c r="H13" s="60">
        <v>948.1</v>
      </c>
      <c r="I13" s="24">
        <v>948.1</v>
      </c>
      <c r="J13" s="25">
        <v>949.7</v>
      </c>
      <c r="K13" s="25">
        <v>1378.4</v>
      </c>
      <c r="L13" s="27" t="e">
        <f>K13/#REF!*100</f>
        <v>#REF!</v>
      </c>
      <c r="M13" s="27">
        <f t="shared" si="1"/>
        <v>145.38550785782093</v>
      </c>
      <c r="N13" s="57"/>
      <c r="O13" s="57"/>
      <c r="P13" s="24">
        <f t="shared" si="2"/>
        <v>145.1405707065389</v>
      </c>
      <c r="Q13" s="27">
        <f t="shared" si="3"/>
        <v>72.69275392891045</v>
      </c>
      <c r="R13" s="25">
        <f t="shared" si="4"/>
        <v>36.331049024775965</v>
      </c>
      <c r="S13" s="25">
        <f t="shared" si="5"/>
        <v>36.331049024775965</v>
      </c>
    </row>
    <row r="14" spans="1:19" ht="21.75" customHeight="1" hidden="1">
      <c r="A14" s="19" t="s">
        <v>37</v>
      </c>
      <c r="B14" s="19"/>
      <c r="C14" s="35" t="s">
        <v>38</v>
      </c>
      <c r="D14" s="60"/>
      <c r="E14" s="60">
        <f t="shared" si="6"/>
        <v>0</v>
      </c>
      <c r="F14" s="66">
        <f t="shared" si="7"/>
        <v>0</v>
      </c>
      <c r="G14" s="60"/>
      <c r="H14" s="60"/>
      <c r="I14" s="24"/>
      <c r="J14" s="25"/>
      <c r="K14" s="25"/>
      <c r="L14" s="27" t="e">
        <f>K14/#REF!*100</f>
        <v>#REF!</v>
      </c>
      <c r="M14" s="27"/>
      <c r="N14" s="57"/>
      <c r="O14" s="57"/>
      <c r="P14" s="24" t="e">
        <f t="shared" si="2"/>
        <v>#DIV/0!</v>
      </c>
      <c r="Q14" s="27"/>
      <c r="R14" s="25"/>
      <c r="S14" s="25" t="e">
        <f t="shared" si="5"/>
        <v>#DIV/0!</v>
      </c>
    </row>
    <row r="15" spans="1:19" ht="24">
      <c r="A15" s="20" t="s">
        <v>11</v>
      </c>
      <c r="B15" s="20"/>
      <c r="C15" s="35" t="s">
        <v>17</v>
      </c>
      <c r="D15" s="60">
        <v>95355.4</v>
      </c>
      <c r="E15" s="60">
        <f t="shared" si="6"/>
        <v>95355.4</v>
      </c>
      <c r="F15" s="66">
        <f t="shared" si="7"/>
        <v>47456.2</v>
      </c>
      <c r="G15" s="60">
        <v>23692.5</v>
      </c>
      <c r="H15" s="60">
        <v>23763.7</v>
      </c>
      <c r="I15" s="24">
        <v>24063.7</v>
      </c>
      <c r="J15" s="25">
        <v>23835.5</v>
      </c>
      <c r="K15" s="25">
        <v>33998.2</v>
      </c>
      <c r="L15" s="27" t="e">
        <f>K15/#REF!*100</f>
        <v>#REF!</v>
      </c>
      <c r="M15" s="27">
        <f t="shared" si="1"/>
        <v>141.28417491906896</v>
      </c>
      <c r="N15" s="57"/>
      <c r="O15" s="57"/>
      <c r="P15" s="24">
        <f t="shared" si="2"/>
        <v>142.63682322586055</v>
      </c>
      <c r="Q15" s="27">
        <f t="shared" si="3"/>
        <v>71.64121863950336</v>
      </c>
      <c r="R15" s="25">
        <f t="shared" si="4"/>
        <v>35.65419472835308</v>
      </c>
      <c r="S15" s="25">
        <f t="shared" si="5"/>
        <v>35.65419472835308</v>
      </c>
    </row>
    <row r="16" spans="1:19" ht="12.75">
      <c r="A16" s="36" t="s">
        <v>14</v>
      </c>
      <c r="B16" s="36"/>
      <c r="C16" s="35" t="s">
        <v>13</v>
      </c>
      <c r="D16" s="60">
        <v>5108.6</v>
      </c>
      <c r="E16" s="60">
        <f t="shared" si="6"/>
        <v>5108.6</v>
      </c>
      <c r="F16" s="66">
        <f t="shared" si="7"/>
        <v>2554.1</v>
      </c>
      <c r="G16" s="60">
        <v>1277</v>
      </c>
      <c r="H16" s="60">
        <v>1277.1</v>
      </c>
      <c r="I16" s="24">
        <v>1277.1</v>
      </c>
      <c r="J16" s="25">
        <v>1277.4</v>
      </c>
      <c r="K16" s="25">
        <v>6174.4</v>
      </c>
      <c r="L16" s="27" t="e">
        <f>K16/#REF!*100</f>
        <v>#REF!</v>
      </c>
      <c r="M16" s="27">
        <f t="shared" si="1"/>
        <v>483.47036254013</v>
      </c>
      <c r="N16" s="57"/>
      <c r="O16" s="57"/>
      <c r="P16" s="24">
        <f t="shared" si="2"/>
        <v>483.3568185376546</v>
      </c>
      <c r="Q16" s="27">
        <f t="shared" si="3"/>
        <v>241.74464586351357</v>
      </c>
      <c r="R16" s="25">
        <f t="shared" si="4"/>
        <v>120.8628587088439</v>
      </c>
      <c r="S16" s="25">
        <f t="shared" si="5"/>
        <v>120.8628587088439</v>
      </c>
    </row>
    <row r="17" spans="1:19" ht="12.75">
      <c r="A17" s="37" t="s">
        <v>42</v>
      </c>
      <c r="B17" s="37"/>
      <c r="C17" s="35" t="s">
        <v>43</v>
      </c>
      <c r="D17" s="60">
        <v>14127.1</v>
      </c>
      <c r="E17" s="60">
        <f t="shared" si="6"/>
        <v>14127.1</v>
      </c>
      <c r="F17" s="66">
        <f t="shared" si="7"/>
        <v>6787.6</v>
      </c>
      <c r="G17" s="60">
        <v>3107.4</v>
      </c>
      <c r="H17" s="60">
        <v>3680.2</v>
      </c>
      <c r="I17" s="24">
        <v>3677.5</v>
      </c>
      <c r="J17" s="25">
        <v>3662</v>
      </c>
      <c r="K17" s="25">
        <v>7874.1</v>
      </c>
      <c r="L17" s="27" t="e">
        <f>K17/#REF!*100</f>
        <v>#REF!</v>
      </c>
      <c r="M17" s="27">
        <f t="shared" si="1"/>
        <v>214.11556764106052</v>
      </c>
      <c r="N17" s="57"/>
      <c r="O17" s="57"/>
      <c r="P17" s="24">
        <f t="shared" si="2"/>
        <v>215.0218459858001</v>
      </c>
      <c r="Q17" s="27">
        <f t="shared" si="3"/>
        <v>116.00713065000883</v>
      </c>
      <c r="R17" s="25">
        <f t="shared" si="4"/>
        <v>55.73755406275881</v>
      </c>
      <c r="S17" s="25">
        <f t="shared" si="5"/>
        <v>55.73755406275881</v>
      </c>
    </row>
    <row r="18" spans="1:19" ht="12.75">
      <c r="A18" s="37" t="s">
        <v>18</v>
      </c>
      <c r="B18" s="37"/>
      <c r="C18" s="35" t="s">
        <v>15</v>
      </c>
      <c r="D18" s="60">
        <v>13419</v>
      </c>
      <c r="E18" s="60">
        <f t="shared" si="6"/>
        <v>13419</v>
      </c>
      <c r="F18" s="66">
        <f t="shared" si="7"/>
        <v>6959</v>
      </c>
      <c r="G18" s="60">
        <v>3229.5</v>
      </c>
      <c r="H18" s="60">
        <v>3729.5</v>
      </c>
      <c r="I18" s="24">
        <v>3229.5</v>
      </c>
      <c r="J18" s="25">
        <v>3230.5</v>
      </c>
      <c r="K18" s="25">
        <v>8775.5</v>
      </c>
      <c r="L18" s="27" t="e">
        <f>K18/#REF!*100</f>
        <v>#REF!</v>
      </c>
      <c r="M18" s="27">
        <f t="shared" si="1"/>
        <v>271.7293698714971</v>
      </c>
      <c r="N18" s="57"/>
      <c r="O18" s="57"/>
      <c r="P18" s="24">
        <f t="shared" si="2"/>
        <v>271.64525615229843</v>
      </c>
      <c r="Q18" s="27">
        <f t="shared" si="3"/>
        <v>126.10288834602673</v>
      </c>
      <c r="R18" s="25">
        <f t="shared" si="4"/>
        <v>65.39608018481258</v>
      </c>
      <c r="S18" s="25">
        <f t="shared" si="5"/>
        <v>65.39608018481258</v>
      </c>
    </row>
    <row r="19" spans="1:19" ht="12.75">
      <c r="A19" s="37" t="s">
        <v>60</v>
      </c>
      <c r="B19" s="37"/>
      <c r="C19" s="35" t="s">
        <v>61</v>
      </c>
      <c r="D19" s="60">
        <v>6</v>
      </c>
      <c r="E19" s="60">
        <f t="shared" si="6"/>
        <v>6</v>
      </c>
      <c r="F19" s="66">
        <f t="shared" si="7"/>
        <v>3</v>
      </c>
      <c r="G19" s="60">
        <v>1</v>
      </c>
      <c r="H19" s="60">
        <v>2</v>
      </c>
      <c r="I19" s="24">
        <v>1</v>
      </c>
      <c r="J19" s="25">
        <v>2</v>
      </c>
      <c r="K19" s="25">
        <v>6</v>
      </c>
      <c r="L19" s="27" t="e">
        <f>K19/#REF!*100</f>
        <v>#REF!</v>
      </c>
      <c r="M19" s="27">
        <f t="shared" si="1"/>
        <v>600</v>
      </c>
      <c r="N19" s="57"/>
      <c r="O19" s="57"/>
      <c r="P19" s="24">
        <f t="shared" si="2"/>
        <v>300</v>
      </c>
      <c r="Q19" s="27">
        <f t="shared" si="3"/>
        <v>200</v>
      </c>
      <c r="R19" s="25">
        <f t="shared" si="4"/>
        <v>100</v>
      </c>
      <c r="S19" s="25">
        <f t="shared" si="5"/>
        <v>100</v>
      </c>
    </row>
    <row r="20" spans="1:19" ht="12.75">
      <c r="A20" s="28" t="s">
        <v>12</v>
      </c>
      <c r="B20" s="28"/>
      <c r="C20" s="35" t="s">
        <v>7</v>
      </c>
      <c r="D20" s="60">
        <v>4453.7</v>
      </c>
      <c r="E20" s="60">
        <f t="shared" si="6"/>
        <v>4453.7</v>
      </c>
      <c r="F20" s="66">
        <f t="shared" si="7"/>
        <v>2222.7</v>
      </c>
      <c r="G20" s="60">
        <v>1110</v>
      </c>
      <c r="H20" s="60">
        <v>1112.7</v>
      </c>
      <c r="I20" s="24">
        <v>1112.7</v>
      </c>
      <c r="J20" s="25">
        <v>1118.3</v>
      </c>
      <c r="K20" s="25">
        <v>13258.9</v>
      </c>
      <c r="L20" s="27" t="e">
        <f>K20/#REF!*100</f>
        <v>#REF!</v>
      </c>
      <c r="M20" s="27">
        <f t="shared" si="1"/>
        <v>1191.5970162667386</v>
      </c>
      <c r="N20" s="57"/>
      <c r="O20" s="57"/>
      <c r="P20" s="24">
        <f t="shared" si="2"/>
        <v>1185.6299740677814</v>
      </c>
      <c r="Q20" s="27">
        <f t="shared" si="3"/>
        <v>596.5222477167409</v>
      </c>
      <c r="R20" s="25">
        <f t="shared" si="4"/>
        <v>297.7052787569886</v>
      </c>
      <c r="S20" s="25">
        <f t="shared" si="5"/>
        <v>297.7052787569886</v>
      </c>
    </row>
    <row r="21" spans="1:19" ht="12.75">
      <c r="A21" s="38" t="s">
        <v>39</v>
      </c>
      <c r="B21" s="68"/>
      <c r="C21" s="23" t="s">
        <v>40</v>
      </c>
      <c r="D21" s="60">
        <v>0</v>
      </c>
      <c r="E21" s="60">
        <f t="shared" si="6"/>
        <v>0</v>
      </c>
      <c r="F21" s="66">
        <f t="shared" si="7"/>
        <v>0</v>
      </c>
      <c r="G21" s="60"/>
      <c r="H21" s="60"/>
      <c r="I21" s="24"/>
      <c r="J21" s="25"/>
      <c r="K21" s="25">
        <v>521.1</v>
      </c>
      <c r="L21" s="27"/>
      <c r="M21" s="27"/>
      <c r="N21" s="57"/>
      <c r="O21" s="57"/>
      <c r="P21" s="24"/>
      <c r="Q21" s="27"/>
      <c r="R21" s="25"/>
      <c r="S21" s="25"/>
    </row>
    <row r="22" spans="1:19" ht="12.75">
      <c r="A22" s="32" t="s">
        <v>1</v>
      </c>
      <c r="B22" s="32"/>
      <c r="C22" s="39" t="s">
        <v>0</v>
      </c>
      <c r="D22" s="40">
        <f aca="true" t="shared" si="8" ref="D22:J22">D23+D24+D26+D25</f>
        <v>2394102</v>
      </c>
      <c r="E22" s="40">
        <f t="shared" si="8"/>
        <v>2440299.4000000004</v>
      </c>
      <c r="F22" s="40">
        <f t="shared" si="8"/>
        <v>1301955.1</v>
      </c>
      <c r="G22" s="40">
        <f t="shared" si="8"/>
        <v>595217</v>
      </c>
      <c r="H22" s="40">
        <f t="shared" si="8"/>
        <v>706738.1</v>
      </c>
      <c r="I22" s="40">
        <f t="shared" si="8"/>
        <v>524527.6</v>
      </c>
      <c r="J22" s="40">
        <f t="shared" si="8"/>
        <v>613816.7</v>
      </c>
      <c r="K22" s="40">
        <f>K23+K24+K26+K25+0.1</f>
        <v>1011460.6</v>
      </c>
      <c r="L22" s="34" t="e">
        <f>K22/#REF!*100</f>
        <v>#REF!</v>
      </c>
      <c r="M22" s="34">
        <f aca="true" t="shared" si="9" ref="M22:M27">K22/I22*100</f>
        <v>192.8326745818523</v>
      </c>
      <c r="N22" s="57"/>
      <c r="O22" s="57"/>
      <c r="P22" s="43">
        <f t="shared" si="2"/>
        <v>164.78218986221785</v>
      </c>
      <c r="Q22" s="34">
        <f t="shared" si="3"/>
        <v>77.68782502560956</v>
      </c>
      <c r="R22" s="31">
        <f t="shared" si="4"/>
        <v>41.44821737857247</v>
      </c>
      <c r="S22" s="31">
        <f t="shared" si="5"/>
        <v>42.24801616639559</v>
      </c>
    </row>
    <row r="23" spans="1:19" ht="24">
      <c r="A23" s="21" t="s">
        <v>67</v>
      </c>
      <c r="B23" s="19"/>
      <c r="C23" s="41" t="s">
        <v>20</v>
      </c>
      <c r="D23" s="44">
        <v>2384102</v>
      </c>
      <c r="E23" s="60">
        <f t="shared" si="6"/>
        <v>2434619.9000000004</v>
      </c>
      <c r="F23" s="66">
        <f t="shared" si="7"/>
        <v>1301275.6</v>
      </c>
      <c r="G23" s="60">
        <f>562903.9+33767.5+366.1</f>
        <v>597037.5</v>
      </c>
      <c r="H23" s="60">
        <f>695293.4+11580.5-2635.8</f>
        <v>704238.1</v>
      </c>
      <c r="I23" s="25">
        <v>522027.6</v>
      </c>
      <c r="J23" s="25">
        <f>607292.6+4024.1</f>
        <v>611316.7</v>
      </c>
      <c r="K23" s="25">
        <v>1012070.2</v>
      </c>
      <c r="L23" s="27" t="e">
        <f>K23/#REF!*100</f>
        <v>#REF!</v>
      </c>
      <c r="M23" s="27">
        <f t="shared" si="9"/>
        <v>193.8729293240434</v>
      </c>
      <c r="N23" s="57"/>
      <c r="O23" s="57"/>
      <c r="P23" s="24">
        <f t="shared" si="2"/>
        <v>165.55579129443055</v>
      </c>
      <c r="Q23" s="27">
        <f t="shared" si="3"/>
        <v>77.77523838916214</v>
      </c>
      <c r="R23" s="25">
        <f t="shared" si="4"/>
        <v>41.56994691450603</v>
      </c>
      <c r="S23" s="25">
        <f t="shared" si="5"/>
        <v>42.450792793261364</v>
      </c>
    </row>
    <row r="24" spans="1:19" ht="13.5" customHeight="1">
      <c r="A24" s="21" t="s">
        <v>2</v>
      </c>
      <c r="B24" s="21"/>
      <c r="C24" s="42" t="s">
        <v>19</v>
      </c>
      <c r="D24" s="69">
        <v>10000</v>
      </c>
      <c r="E24" s="60">
        <f t="shared" si="6"/>
        <v>10000</v>
      </c>
      <c r="F24" s="66">
        <f t="shared" si="7"/>
        <v>5000</v>
      </c>
      <c r="G24" s="69">
        <v>2500</v>
      </c>
      <c r="H24" s="69">
        <v>2500</v>
      </c>
      <c r="I24" s="25">
        <v>2500</v>
      </c>
      <c r="J24" s="25">
        <v>2500</v>
      </c>
      <c r="K24" s="25">
        <v>5697.6</v>
      </c>
      <c r="L24" s="27" t="e">
        <f>K24/#REF!*100</f>
        <v>#REF!</v>
      </c>
      <c r="M24" s="27">
        <f t="shared" si="9"/>
        <v>227.90400000000002</v>
      </c>
      <c r="N24" s="57"/>
      <c r="O24" s="57"/>
      <c r="P24" s="24">
        <f t="shared" si="2"/>
        <v>227.904</v>
      </c>
      <c r="Q24" s="27">
        <f t="shared" si="3"/>
        <v>113.952</v>
      </c>
      <c r="R24" s="25">
        <f t="shared" si="4"/>
        <v>56.976</v>
      </c>
      <c r="S24" s="25">
        <f t="shared" si="5"/>
        <v>56.976</v>
      </c>
    </row>
    <row r="25" spans="1:19" ht="40.5" customHeight="1">
      <c r="A25" s="21" t="s">
        <v>65</v>
      </c>
      <c r="B25" s="22" t="s">
        <v>64</v>
      </c>
      <c r="C25" s="23" t="s">
        <v>64</v>
      </c>
      <c r="D25" s="60">
        <v>0</v>
      </c>
      <c r="E25" s="60">
        <f t="shared" si="6"/>
        <v>0</v>
      </c>
      <c r="F25" s="66">
        <f t="shared" si="7"/>
        <v>0</v>
      </c>
      <c r="G25" s="60"/>
      <c r="H25" s="60"/>
      <c r="I25" s="25"/>
      <c r="J25" s="25"/>
      <c r="K25" s="25">
        <v>67.8</v>
      </c>
      <c r="L25" s="27" t="e">
        <f>K25/#REF!*100</f>
        <v>#REF!</v>
      </c>
      <c r="M25" s="27"/>
      <c r="N25" s="57"/>
      <c r="O25" s="57"/>
      <c r="P25" s="24" t="e">
        <f t="shared" si="2"/>
        <v>#DIV/0!</v>
      </c>
      <c r="Q25" s="27"/>
      <c r="R25" s="25"/>
      <c r="S25" s="25"/>
    </row>
    <row r="26" spans="1:19" ht="24" customHeight="1">
      <c r="A26" s="21" t="s">
        <v>66</v>
      </c>
      <c r="B26" s="70"/>
      <c r="C26" s="26" t="s">
        <v>63</v>
      </c>
      <c r="D26" s="71">
        <v>0</v>
      </c>
      <c r="E26" s="60">
        <f t="shared" si="6"/>
        <v>-4320.5</v>
      </c>
      <c r="F26" s="66">
        <f t="shared" si="7"/>
        <v>-4320.5</v>
      </c>
      <c r="G26" s="71">
        <v>-4320.5</v>
      </c>
      <c r="H26" s="71"/>
      <c r="I26" s="25"/>
      <c r="J26" s="25"/>
      <c r="K26" s="25">
        <v>-6375.1</v>
      </c>
      <c r="L26" s="27" t="e">
        <f>K26/#REF!*100</f>
        <v>#REF!</v>
      </c>
      <c r="M26" s="27"/>
      <c r="N26" s="57"/>
      <c r="O26" s="57"/>
      <c r="P26" s="24" t="e">
        <f t="shared" si="2"/>
        <v>#DIV/0!</v>
      </c>
      <c r="Q26" s="27">
        <f>K26*100/F26</f>
        <v>147.55468117116075</v>
      </c>
      <c r="R26" s="25">
        <f>K26*100/E26</f>
        <v>147.55468117116075</v>
      </c>
      <c r="S26" s="25"/>
    </row>
    <row r="27" spans="1:19" ht="12.75">
      <c r="A27" s="28"/>
      <c r="B27" s="29"/>
      <c r="C27" s="30" t="s">
        <v>4</v>
      </c>
      <c r="D27" s="31">
        <f aca="true" t="shared" si="10" ref="D27:K27">D22+D8</f>
        <v>3160651.4</v>
      </c>
      <c r="E27" s="31">
        <f t="shared" si="10"/>
        <v>3206848.8000000003</v>
      </c>
      <c r="F27" s="31">
        <f t="shared" si="10"/>
        <v>1693281.9000000001</v>
      </c>
      <c r="G27" s="31">
        <f t="shared" si="10"/>
        <v>775545.9</v>
      </c>
      <c r="H27" s="31">
        <f t="shared" si="10"/>
        <v>917736</v>
      </c>
      <c r="I27" s="31">
        <f t="shared" si="10"/>
        <v>701651.3</v>
      </c>
      <c r="J27" s="31">
        <f t="shared" si="10"/>
        <v>811915.5999999999</v>
      </c>
      <c r="K27" s="31">
        <f t="shared" si="10"/>
        <v>1379107</v>
      </c>
      <c r="L27" s="34" t="e">
        <f>K27/#REF!*100</f>
        <v>#REF!</v>
      </c>
      <c r="M27" s="34">
        <f t="shared" si="9"/>
        <v>196.5516204416638</v>
      </c>
      <c r="N27" s="57"/>
      <c r="O27" s="58" t="e">
        <f>J27+#REF!+#REF!</f>
        <v>#REF!</v>
      </c>
      <c r="P27" s="43">
        <f t="shared" si="2"/>
        <v>169.8584187814596</v>
      </c>
      <c r="Q27" s="34">
        <f t="shared" si="3"/>
        <v>81.44580060768381</v>
      </c>
      <c r="R27" s="31">
        <f t="shared" si="4"/>
        <v>43.00505218705665</v>
      </c>
      <c r="S27" s="31">
        <f t="shared" si="5"/>
        <v>43.6336319785219</v>
      </c>
    </row>
    <row r="28" spans="1:19" ht="12.75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  <c r="N28" s="57"/>
      <c r="O28" s="57"/>
      <c r="P28" s="56"/>
      <c r="Q28" s="34"/>
      <c r="R28" s="31"/>
      <c r="S28" s="25"/>
    </row>
    <row r="29" spans="1:19" ht="12.75">
      <c r="A29" s="87" t="s">
        <v>25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9"/>
    </row>
    <row r="30" spans="1:19" ht="12.75">
      <c r="A30" s="32" t="s">
        <v>3</v>
      </c>
      <c r="B30" s="32"/>
      <c r="C30" s="33" t="s">
        <v>68</v>
      </c>
      <c r="D30" s="34">
        <f aca="true" t="shared" si="11" ref="D30:K30">D31+D33+D35+D37+D34+D36+D38+D32</f>
        <v>17496.5</v>
      </c>
      <c r="E30" s="34">
        <f t="shared" si="11"/>
        <v>17639.6</v>
      </c>
      <c r="F30" s="34">
        <f t="shared" si="11"/>
        <v>8891.7</v>
      </c>
      <c r="G30" s="34">
        <f t="shared" si="11"/>
        <v>4517.4</v>
      </c>
      <c r="H30" s="34">
        <f t="shared" si="11"/>
        <v>4374.3</v>
      </c>
      <c r="I30" s="34">
        <f t="shared" si="11"/>
        <v>4374.3</v>
      </c>
      <c r="J30" s="34">
        <f t="shared" si="11"/>
        <v>4373.6</v>
      </c>
      <c r="K30" s="34">
        <f t="shared" si="11"/>
        <v>7521.399999999999</v>
      </c>
      <c r="L30" s="34" t="e">
        <f>K30/#REF!*100</f>
        <v>#REF!</v>
      </c>
      <c r="M30" s="34">
        <f aca="true" t="shared" si="12" ref="M30:M37">K30/I30*100</f>
        <v>171.94522552179774</v>
      </c>
      <c r="N30" s="57"/>
      <c r="O30" s="57"/>
      <c r="P30" s="34">
        <f t="shared" si="2"/>
        <v>171.97274556429483</v>
      </c>
      <c r="Q30" s="34">
        <f t="shared" si="3"/>
        <v>84.58899872915188</v>
      </c>
      <c r="R30" s="31">
        <f t="shared" si="4"/>
        <v>42.63928887276355</v>
      </c>
      <c r="S30" s="31">
        <f t="shared" si="5"/>
        <v>42.9880261766639</v>
      </c>
    </row>
    <row r="31" spans="1:19" ht="12.75">
      <c r="A31" s="19" t="s">
        <v>23</v>
      </c>
      <c r="B31" s="19"/>
      <c r="C31" s="65" t="s">
        <v>22</v>
      </c>
      <c r="D31" s="66">
        <v>13130</v>
      </c>
      <c r="E31" s="60">
        <f aca="true" t="shared" si="13" ref="E31:E37">G31+H31+I31+J31</f>
        <v>13130</v>
      </c>
      <c r="F31" s="66">
        <f aca="true" t="shared" si="14" ref="F31:F41">G31+H31</f>
        <v>6565</v>
      </c>
      <c r="G31" s="66">
        <v>3282.5</v>
      </c>
      <c r="H31" s="66">
        <v>3282.5</v>
      </c>
      <c r="I31" s="24">
        <v>3282.5</v>
      </c>
      <c r="J31" s="25">
        <v>3282.5</v>
      </c>
      <c r="K31" s="67">
        <v>5773.2</v>
      </c>
      <c r="L31" s="27" t="e">
        <f>K31/#REF!*100</f>
        <v>#REF!</v>
      </c>
      <c r="M31" s="27">
        <f t="shared" si="12"/>
        <v>175.87814166031987</v>
      </c>
      <c r="N31" s="57"/>
      <c r="O31" s="57"/>
      <c r="P31" s="24">
        <f t="shared" si="2"/>
        <v>175.87814166031987</v>
      </c>
      <c r="Q31" s="27">
        <f>K31*100/F31</f>
        <v>87.93907083015993</v>
      </c>
      <c r="R31" s="25">
        <f t="shared" si="4"/>
        <v>43.96953541507997</v>
      </c>
      <c r="S31" s="25">
        <f t="shared" si="5"/>
        <v>43.96953541507997</v>
      </c>
    </row>
    <row r="32" spans="1:19" ht="12.75">
      <c r="A32" s="19" t="s">
        <v>70</v>
      </c>
      <c r="B32" s="19"/>
      <c r="C32" s="35" t="s">
        <v>71</v>
      </c>
      <c r="D32" s="60">
        <v>1279.5</v>
      </c>
      <c r="E32" s="60">
        <f t="shared" si="13"/>
        <v>1279.5</v>
      </c>
      <c r="F32" s="66">
        <f t="shared" si="14"/>
        <v>640</v>
      </c>
      <c r="G32" s="66">
        <v>320</v>
      </c>
      <c r="H32" s="66">
        <v>320</v>
      </c>
      <c r="I32" s="24">
        <v>320</v>
      </c>
      <c r="J32" s="25">
        <v>319.5</v>
      </c>
      <c r="K32" s="67">
        <v>565</v>
      </c>
      <c r="L32" s="27"/>
      <c r="M32" s="27"/>
      <c r="N32" s="57"/>
      <c r="O32" s="57"/>
      <c r="P32" s="24"/>
      <c r="Q32" s="27">
        <f>K32*100/F32</f>
        <v>88.28125</v>
      </c>
      <c r="R32" s="25">
        <f>K32*100/E32</f>
        <v>44.1578741695975</v>
      </c>
      <c r="S32" s="25">
        <f t="shared" si="5"/>
        <v>44.1578741695975</v>
      </c>
    </row>
    <row r="33" spans="1:19" ht="12.75">
      <c r="A33" s="19" t="s">
        <v>9</v>
      </c>
      <c r="B33" s="19"/>
      <c r="C33" s="35" t="s">
        <v>6</v>
      </c>
      <c r="D33" s="60">
        <v>622</v>
      </c>
      <c r="E33" s="60">
        <f t="shared" si="13"/>
        <v>622</v>
      </c>
      <c r="F33" s="66">
        <f t="shared" si="14"/>
        <v>311</v>
      </c>
      <c r="G33" s="60">
        <v>155.5</v>
      </c>
      <c r="H33" s="60">
        <v>155.5</v>
      </c>
      <c r="I33" s="24">
        <v>155.5</v>
      </c>
      <c r="J33" s="25">
        <v>155.5</v>
      </c>
      <c r="K33" s="25">
        <v>136.9</v>
      </c>
      <c r="L33" s="27" t="e">
        <f>K33/#REF!*100</f>
        <v>#REF!</v>
      </c>
      <c r="M33" s="27">
        <f t="shared" si="12"/>
        <v>88.03858520900322</v>
      </c>
      <c r="N33" s="57"/>
      <c r="O33" s="57"/>
      <c r="P33" s="24">
        <f t="shared" si="2"/>
        <v>88.03858520900322</v>
      </c>
      <c r="Q33" s="27">
        <f t="shared" si="3"/>
        <v>44.01929260450161</v>
      </c>
      <c r="R33" s="25">
        <f t="shared" si="4"/>
        <v>22.009646302250804</v>
      </c>
      <c r="S33" s="25">
        <f t="shared" si="5"/>
        <v>22.009646302250804</v>
      </c>
    </row>
    <row r="34" spans="1:19" ht="12.75">
      <c r="A34" s="19" t="s">
        <v>10</v>
      </c>
      <c r="B34" s="19"/>
      <c r="C34" s="35" t="s">
        <v>21</v>
      </c>
      <c r="D34" s="60">
        <v>24</v>
      </c>
      <c r="E34" s="60">
        <f t="shared" si="13"/>
        <v>24</v>
      </c>
      <c r="F34" s="66">
        <f t="shared" si="14"/>
        <v>12</v>
      </c>
      <c r="G34" s="60">
        <v>6</v>
      </c>
      <c r="H34" s="60">
        <v>6</v>
      </c>
      <c r="I34" s="24">
        <v>6</v>
      </c>
      <c r="J34" s="25">
        <v>6</v>
      </c>
      <c r="K34" s="25">
        <v>7.4</v>
      </c>
      <c r="L34" s="27" t="e">
        <f>K34/#REF!*100</f>
        <v>#REF!</v>
      </c>
      <c r="M34" s="27">
        <f t="shared" si="12"/>
        <v>123.33333333333334</v>
      </c>
      <c r="N34" s="57"/>
      <c r="O34" s="57"/>
      <c r="P34" s="24">
        <f t="shared" si="2"/>
        <v>123.33333333333333</v>
      </c>
      <c r="Q34" s="27">
        <f t="shared" si="3"/>
        <v>61.666666666666664</v>
      </c>
      <c r="R34" s="25">
        <f t="shared" si="4"/>
        <v>30.833333333333332</v>
      </c>
      <c r="S34" s="25">
        <f t="shared" si="5"/>
        <v>30.833333333333332</v>
      </c>
    </row>
    <row r="35" spans="1:19" ht="24">
      <c r="A35" s="20" t="s">
        <v>11</v>
      </c>
      <c r="B35" s="20"/>
      <c r="C35" s="35" t="s">
        <v>17</v>
      </c>
      <c r="D35" s="60">
        <v>1757.5</v>
      </c>
      <c r="E35" s="60">
        <f t="shared" si="13"/>
        <v>1773.6</v>
      </c>
      <c r="F35" s="66">
        <f t="shared" si="14"/>
        <v>894.9</v>
      </c>
      <c r="G35" s="60">
        <f>439.4+16.1</f>
        <v>455.5</v>
      </c>
      <c r="H35" s="60">
        <v>439.4</v>
      </c>
      <c r="I35" s="24">
        <v>439.4</v>
      </c>
      <c r="J35" s="25">
        <v>439.3</v>
      </c>
      <c r="K35" s="25">
        <v>530.9</v>
      </c>
      <c r="L35" s="27" t="e">
        <f>K35/#REF!*100</f>
        <v>#REF!</v>
      </c>
      <c r="M35" s="27">
        <f t="shared" si="12"/>
        <v>120.82385070550752</v>
      </c>
      <c r="N35" s="57"/>
      <c r="O35" s="57"/>
      <c r="P35" s="24">
        <f t="shared" si="2"/>
        <v>120.8513544274983</v>
      </c>
      <c r="Q35" s="27">
        <f t="shared" si="3"/>
        <v>59.325064252989165</v>
      </c>
      <c r="R35" s="25">
        <f t="shared" si="4"/>
        <v>29.933468651330628</v>
      </c>
      <c r="S35" s="25">
        <f t="shared" si="5"/>
        <v>30.207681365576104</v>
      </c>
    </row>
    <row r="36" spans="1:19" ht="15" customHeight="1">
      <c r="A36" s="37" t="s">
        <v>42</v>
      </c>
      <c r="B36" s="37"/>
      <c r="C36" s="35" t="s">
        <v>43</v>
      </c>
      <c r="D36" s="60">
        <v>616</v>
      </c>
      <c r="E36" s="60">
        <f t="shared" si="13"/>
        <v>743</v>
      </c>
      <c r="F36" s="66">
        <f t="shared" si="14"/>
        <v>435</v>
      </c>
      <c r="G36" s="60">
        <f>154+127</f>
        <v>281</v>
      </c>
      <c r="H36" s="60">
        <v>154</v>
      </c>
      <c r="I36" s="24">
        <v>154</v>
      </c>
      <c r="J36" s="25">
        <v>154</v>
      </c>
      <c r="K36" s="25">
        <v>442</v>
      </c>
      <c r="L36" s="27"/>
      <c r="M36" s="27">
        <f t="shared" si="12"/>
        <v>287.012987012987</v>
      </c>
      <c r="N36" s="57"/>
      <c r="O36" s="57"/>
      <c r="P36" s="24">
        <f t="shared" si="2"/>
        <v>287.012987012987</v>
      </c>
      <c r="Q36" s="27">
        <f t="shared" si="3"/>
        <v>101.60919540229885</v>
      </c>
      <c r="R36" s="25">
        <f t="shared" si="4"/>
        <v>59.4885598923284</v>
      </c>
      <c r="S36" s="25">
        <f t="shared" si="5"/>
        <v>71.75324675324676</v>
      </c>
    </row>
    <row r="37" spans="1:19" ht="12.75">
      <c r="A37" s="36" t="s">
        <v>18</v>
      </c>
      <c r="B37" s="36"/>
      <c r="C37" s="35" t="s">
        <v>15</v>
      </c>
      <c r="D37" s="60">
        <v>67.5</v>
      </c>
      <c r="E37" s="60">
        <f t="shared" si="13"/>
        <v>67.5</v>
      </c>
      <c r="F37" s="66">
        <f t="shared" si="14"/>
        <v>33.8</v>
      </c>
      <c r="G37" s="60">
        <v>16.9</v>
      </c>
      <c r="H37" s="60">
        <v>16.9</v>
      </c>
      <c r="I37" s="24">
        <v>16.9</v>
      </c>
      <c r="J37" s="25">
        <v>16.8</v>
      </c>
      <c r="K37" s="25">
        <v>65.5</v>
      </c>
      <c r="L37" s="27" t="e">
        <f>K37/#REF!*100</f>
        <v>#REF!</v>
      </c>
      <c r="M37" s="27">
        <f t="shared" si="12"/>
        <v>387.57396449704146</v>
      </c>
      <c r="N37" s="57"/>
      <c r="O37" s="57"/>
      <c r="P37" s="24">
        <f t="shared" si="2"/>
        <v>389.88095238095235</v>
      </c>
      <c r="Q37" s="27">
        <f t="shared" si="3"/>
        <v>193.78698224852073</v>
      </c>
      <c r="R37" s="25">
        <f t="shared" si="4"/>
        <v>97.03703703703704</v>
      </c>
      <c r="S37" s="25">
        <f t="shared" si="5"/>
        <v>97.03703703703704</v>
      </c>
    </row>
    <row r="38" spans="1:19" ht="15.75" customHeight="1">
      <c r="A38" s="38" t="s">
        <v>39</v>
      </c>
      <c r="B38" s="68"/>
      <c r="C38" s="23" t="s">
        <v>40</v>
      </c>
      <c r="D38" s="85"/>
      <c r="E38" s="35"/>
      <c r="F38" s="66">
        <f t="shared" si="14"/>
        <v>0</v>
      </c>
      <c r="G38" s="60"/>
      <c r="H38" s="60"/>
      <c r="I38" s="24"/>
      <c r="J38" s="25"/>
      <c r="K38" s="25">
        <v>0.5</v>
      </c>
      <c r="L38" s="27"/>
      <c r="M38" s="27"/>
      <c r="N38" s="57"/>
      <c r="O38" s="57"/>
      <c r="P38" s="24" t="e">
        <f t="shared" si="2"/>
        <v>#DIV/0!</v>
      </c>
      <c r="Q38" s="34"/>
      <c r="R38" s="31"/>
      <c r="S38" s="25"/>
    </row>
    <row r="39" spans="1:19" ht="12.75">
      <c r="A39" s="32" t="s">
        <v>1</v>
      </c>
      <c r="B39" s="32"/>
      <c r="C39" s="39" t="s">
        <v>0</v>
      </c>
      <c r="D39" s="40">
        <f>D40+D41</f>
        <v>14293.3</v>
      </c>
      <c r="E39" s="40">
        <f>E40+E41</f>
        <v>21117</v>
      </c>
      <c r="F39" s="40">
        <f aca="true" t="shared" si="15" ref="F39:K39">F40+F41</f>
        <v>13393.300000000001</v>
      </c>
      <c r="G39" s="40">
        <f t="shared" si="15"/>
        <v>8298.400000000001</v>
      </c>
      <c r="H39" s="40">
        <f t="shared" si="15"/>
        <v>5094.9</v>
      </c>
      <c r="I39" s="40">
        <f t="shared" si="15"/>
        <v>3861.9</v>
      </c>
      <c r="J39" s="40">
        <f t="shared" si="15"/>
        <v>3861.8</v>
      </c>
      <c r="K39" s="40">
        <f t="shared" si="15"/>
        <v>5811</v>
      </c>
      <c r="L39" s="40" t="e">
        <f>L40</f>
        <v>#REF!</v>
      </c>
      <c r="M39" s="34">
        <f>K39/I39*100</f>
        <v>150.46997591858928</v>
      </c>
      <c r="N39" s="57"/>
      <c r="O39" s="57"/>
      <c r="P39" s="43">
        <f t="shared" si="2"/>
        <v>150.4738722875343</v>
      </c>
      <c r="Q39" s="34">
        <f t="shared" si="3"/>
        <v>43.38736532445327</v>
      </c>
      <c r="R39" s="31">
        <f t="shared" si="4"/>
        <v>27.51811336837619</v>
      </c>
      <c r="S39" s="31">
        <f t="shared" si="5"/>
        <v>40.65541197624062</v>
      </c>
    </row>
    <row r="40" spans="1:19" ht="24">
      <c r="A40" s="21" t="s">
        <v>67</v>
      </c>
      <c r="B40" s="19"/>
      <c r="C40" s="41" t="s">
        <v>20</v>
      </c>
      <c r="D40" s="44">
        <v>14293.3</v>
      </c>
      <c r="E40" s="60">
        <f>G40+H40+I40+J40</f>
        <v>21184.8</v>
      </c>
      <c r="F40" s="66">
        <f t="shared" si="14"/>
        <v>13461.1</v>
      </c>
      <c r="G40" s="44">
        <f>8355.1+11.1</f>
        <v>8366.2</v>
      </c>
      <c r="H40" s="44">
        <f>4565.5+529.4</f>
        <v>5094.9</v>
      </c>
      <c r="I40" s="24">
        <v>3861.9</v>
      </c>
      <c r="J40" s="44">
        <v>3861.8</v>
      </c>
      <c r="K40" s="25">
        <v>5878.8</v>
      </c>
      <c r="L40" s="27" t="e">
        <f>K40/#REF!*100</f>
        <v>#REF!</v>
      </c>
      <c r="M40" s="27">
        <f>K40/I40*100</f>
        <v>152.22558844092288</v>
      </c>
      <c r="N40" s="57"/>
      <c r="O40" s="57"/>
      <c r="P40" s="24">
        <f t="shared" si="2"/>
        <v>152.22953027085813</v>
      </c>
      <c r="Q40" s="27">
        <f t="shared" si="3"/>
        <v>43.67250819026677</v>
      </c>
      <c r="R40" s="25">
        <f t="shared" si="4"/>
        <v>27.750084966579813</v>
      </c>
      <c r="S40" s="25">
        <f t="shared" si="5"/>
        <v>41.12976009738829</v>
      </c>
    </row>
    <row r="41" spans="1:19" ht="23.25" customHeight="1">
      <c r="A41" s="21" t="s">
        <v>66</v>
      </c>
      <c r="B41" s="70"/>
      <c r="C41" s="26" t="s">
        <v>63</v>
      </c>
      <c r="D41" s="71">
        <v>0</v>
      </c>
      <c r="E41" s="60">
        <f>G41+H41+I41+J41</f>
        <v>-67.8</v>
      </c>
      <c r="F41" s="66">
        <f t="shared" si="14"/>
        <v>-67.8</v>
      </c>
      <c r="G41" s="44">
        <v>-67.8</v>
      </c>
      <c r="H41" s="44"/>
      <c r="I41" s="24"/>
      <c r="J41" s="44"/>
      <c r="K41" s="25">
        <v>-67.8</v>
      </c>
      <c r="L41" s="27"/>
      <c r="M41" s="27"/>
      <c r="N41" s="57"/>
      <c r="O41" s="57"/>
      <c r="P41" s="24"/>
      <c r="Q41" s="27">
        <f t="shared" si="3"/>
        <v>100</v>
      </c>
      <c r="R41" s="25">
        <f t="shared" si="4"/>
        <v>100</v>
      </c>
      <c r="S41" s="25"/>
    </row>
    <row r="42" spans="1:19" ht="12.75">
      <c r="A42" s="28"/>
      <c r="B42" s="29"/>
      <c r="C42" s="30" t="s">
        <v>4</v>
      </c>
      <c r="D42" s="31">
        <f aca="true" t="shared" si="16" ref="D42:J42">D39+D30</f>
        <v>31789.8</v>
      </c>
      <c r="E42" s="31">
        <f t="shared" si="16"/>
        <v>38756.6</v>
      </c>
      <c r="F42" s="31">
        <f t="shared" si="16"/>
        <v>22285</v>
      </c>
      <c r="G42" s="31">
        <f t="shared" si="16"/>
        <v>12815.800000000001</v>
      </c>
      <c r="H42" s="31">
        <f t="shared" si="16"/>
        <v>9469.2</v>
      </c>
      <c r="I42" s="31">
        <f t="shared" si="16"/>
        <v>8236.2</v>
      </c>
      <c r="J42" s="31">
        <f t="shared" si="16"/>
        <v>8235.400000000001</v>
      </c>
      <c r="K42" s="31">
        <f>K39+K30</f>
        <v>13332.399999999998</v>
      </c>
      <c r="L42" s="34" t="e">
        <f>K42/#REF!*100</f>
        <v>#REF!</v>
      </c>
      <c r="M42" s="34">
        <f>K42/I42*100</f>
        <v>161.87562225298072</v>
      </c>
      <c r="N42" s="57"/>
      <c r="O42" s="58" t="e">
        <f>J42+#REF!+#REF!</f>
        <v>#REF!</v>
      </c>
      <c r="P42" s="43">
        <f t="shared" si="2"/>
        <v>161.89134711125138</v>
      </c>
      <c r="Q42" s="34">
        <f t="shared" si="3"/>
        <v>59.826789320170505</v>
      </c>
      <c r="R42" s="31">
        <f t="shared" si="4"/>
        <v>34.40033439465794</v>
      </c>
      <c r="S42" s="31">
        <f t="shared" si="5"/>
        <v>41.93923837205644</v>
      </c>
    </row>
    <row r="43" spans="1:19" ht="12.75">
      <c r="A43" s="45"/>
      <c r="B43" s="46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1"/>
      <c r="N43" s="57"/>
      <c r="O43" s="57"/>
      <c r="P43" s="56"/>
      <c r="Q43" s="34"/>
      <c r="R43" s="31"/>
      <c r="S43" s="25"/>
    </row>
    <row r="44" spans="1:19" ht="12.75">
      <c r="A44" s="87" t="s">
        <v>26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9"/>
    </row>
    <row r="45" spans="1:19" ht="12.75">
      <c r="A45" s="32" t="s">
        <v>3</v>
      </c>
      <c r="B45" s="32"/>
      <c r="C45" s="33" t="s">
        <v>68</v>
      </c>
      <c r="D45" s="34">
        <f>D46+D49+D51+D53+D54+D55+D50+D48+D47+D52</f>
        <v>17783.1</v>
      </c>
      <c r="E45" s="34">
        <f>E46+E49+E51+E53+E54+E55+E50+E48+E47+E52</f>
        <v>17783.1</v>
      </c>
      <c r="F45" s="34">
        <f aca="true" t="shared" si="17" ref="F45:K45">F46+F49+F51+F53+F54+F55+F50+F48+F47+F52</f>
        <v>8628.9</v>
      </c>
      <c r="G45" s="34">
        <f t="shared" si="17"/>
        <v>4352.599999999999</v>
      </c>
      <c r="H45" s="34">
        <f t="shared" si="17"/>
        <v>4276.299999999999</v>
      </c>
      <c r="I45" s="34">
        <f t="shared" si="17"/>
        <v>4291.299999999999</v>
      </c>
      <c r="J45" s="34">
        <f t="shared" si="17"/>
        <v>4862.9</v>
      </c>
      <c r="K45" s="34">
        <f t="shared" si="17"/>
        <v>7921.3</v>
      </c>
      <c r="L45" s="34" t="e">
        <f>K45/#REF!*100</f>
        <v>#REF!</v>
      </c>
      <c r="M45" s="34">
        <f>K45/I45*100</f>
        <v>184.58975135739757</v>
      </c>
      <c r="N45" s="57"/>
      <c r="O45" s="57"/>
      <c r="P45" s="34">
        <f t="shared" si="2"/>
        <v>162.89251269818422</v>
      </c>
      <c r="Q45" s="34">
        <f t="shared" si="3"/>
        <v>91.79965001332731</v>
      </c>
      <c r="R45" s="31">
        <f t="shared" si="4"/>
        <v>44.54397714684167</v>
      </c>
      <c r="S45" s="31">
        <f t="shared" si="5"/>
        <v>44.54397714684167</v>
      </c>
    </row>
    <row r="46" spans="1:19" ht="12.75">
      <c r="A46" s="28" t="s">
        <v>23</v>
      </c>
      <c r="B46" s="19"/>
      <c r="C46" s="65" t="s">
        <v>22</v>
      </c>
      <c r="D46" s="66">
        <v>11950</v>
      </c>
      <c r="E46" s="60">
        <f aca="true" t="shared" si="18" ref="E46:E59">G46+H46+I46+J46</f>
        <v>11950</v>
      </c>
      <c r="F46" s="66">
        <f aca="true" t="shared" si="19" ref="F46:F57">G46+H46</f>
        <v>5755.299999999999</v>
      </c>
      <c r="G46" s="60">
        <v>2664.1</v>
      </c>
      <c r="H46" s="60">
        <v>3091.2</v>
      </c>
      <c r="I46" s="24">
        <v>3091.2</v>
      </c>
      <c r="J46" s="25">
        <v>3103.5</v>
      </c>
      <c r="K46" s="67">
        <v>5098.1</v>
      </c>
      <c r="L46" s="27" t="e">
        <f>K46/#REF!*100</f>
        <v>#REF!</v>
      </c>
      <c r="M46" s="27">
        <f>K46/I46*100</f>
        <v>164.92300724637684</v>
      </c>
      <c r="N46" s="57"/>
      <c r="O46" s="57"/>
      <c r="P46" s="24">
        <f t="shared" si="2"/>
        <v>164.269373288223</v>
      </c>
      <c r="Q46" s="27">
        <f t="shared" si="3"/>
        <v>88.58096015846266</v>
      </c>
      <c r="R46" s="25">
        <f t="shared" si="4"/>
        <v>42.66192468619247</v>
      </c>
      <c r="S46" s="25">
        <f t="shared" si="5"/>
        <v>42.66192468619247</v>
      </c>
    </row>
    <row r="47" spans="1:19" ht="12.75">
      <c r="A47" s="19" t="s">
        <v>70</v>
      </c>
      <c r="B47" s="19"/>
      <c r="C47" s="35" t="s">
        <v>71</v>
      </c>
      <c r="D47" s="60">
        <v>3002.3</v>
      </c>
      <c r="E47" s="60">
        <f t="shared" si="18"/>
        <v>3002.3</v>
      </c>
      <c r="F47" s="66">
        <f t="shared" si="19"/>
        <v>1499.9</v>
      </c>
      <c r="G47" s="60">
        <v>773.9</v>
      </c>
      <c r="H47" s="60">
        <v>726</v>
      </c>
      <c r="I47" s="24">
        <v>726</v>
      </c>
      <c r="J47" s="25">
        <v>776.4</v>
      </c>
      <c r="K47" s="67">
        <v>1325.7</v>
      </c>
      <c r="L47" s="27"/>
      <c r="M47" s="27"/>
      <c r="N47" s="57"/>
      <c r="O47" s="57"/>
      <c r="P47" s="24"/>
      <c r="Q47" s="27">
        <f>K47*100/F47</f>
        <v>88.38589239282618</v>
      </c>
      <c r="R47" s="25">
        <f>K47*100/E47</f>
        <v>44.156146954001926</v>
      </c>
      <c r="S47" s="25">
        <f t="shared" si="5"/>
        <v>44.156146954001926</v>
      </c>
    </row>
    <row r="48" spans="1:19" ht="12.75">
      <c r="A48" s="19" t="s">
        <v>8</v>
      </c>
      <c r="B48" s="19"/>
      <c r="C48" s="35" t="s">
        <v>5</v>
      </c>
      <c r="D48" s="60">
        <v>13</v>
      </c>
      <c r="E48" s="60">
        <f t="shared" si="18"/>
        <v>13</v>
      </c>
      <c r="F48" s="66">
        <f t="shared" si="19"/>
        <v>6</v>
      </c>
      <c r="G48" s="60">
        <v>3</v>
      </c>
      <c r="H48" s="60">
        <v>3</v>
      </c>
      <c r="I48" s="24">
        <v>3</v>
      </c>
      <c r="J48" s="25">
        <v>4</v>
      </c>
      <c r="K48" s="67">
        <v>11.2</v>
      </c>
      <c r="L48" s="27" t="e">
        <f>K48/#REF!*100</f>
        <v>#REF!</v>
      </c>
      <c r="M48" s="27">
        <f>K48/I48*100</f>
        <v>373.3333333333333</v>
      </c>
      <c r="N48" s="57"/>
      <c r="O48" s="57"/>
      <c r="P48" s="24">
        <f t="shared" si="2"/>
        <v>280</v>
      </c>
      <c r="Q48" s="27">
        <f t="shared" si="3"/>
        <v>186.66666666666666</v>
      </c>
      <c r="R48" s="25">
        <f t="shared" si="4"/>
        <v>86.15384615384616</v>
      </c>
      <c r="S48" s="25">
        <f t="shared" si="5"/>
        <v>86.15384615384616</v>
      </c>
    </row>
    <row r="49" spans="1:19" ht="14.25" customHeight="1">
      <c r="A49" s="19" t="s">
        <v>9</v>
      </c>
      <c r="B49" s="19"/>
      <c r="C49" s="35" t="s">
        <v>6</v>
      </c>
      <c r="D49" s="60">
        <v>1922.3</v>
      </c>
      <c r="E49" s="60">
        <f t="shared" si="18"/>
        <v>1922.3</v>
      </c>
      <c r="F49" s="66">
        <f t="shared" si="19"/>
        <v>1076.8</v>
      </c>
      <c r="G49" s="60">
        <v>823.8</v>
      </c>
      <c r="H49" s="60">
        <v>253</v>
      </c>
      <c r="I49" s="24">
        <v>253</v>
      </c>
      <c r="J49" s="25">
        <v>592.5</v>
      </c>
      <c r="K49" s="25">
        <v>1149</v>
      </c>
      <c r="L49" s="27" t="e">
        <f>K49/#REF!*100</f>
        <v>#REF!</v>
      </c>
      <c r="M49" s="27">
        <f>K49/I49*100</f>
        <v>454.1501976284585</v>
      </c>
      <c r="N49" s="57"/>
      <c r="O49" s="57"/>
      <c r="P49" s="24">
        <f t="shared" si="2"/>
        <v>193.9240506329114</v>
      </c>
      <c r="Q49" s="27">
        <f t="shared" si="3"/>
        <v>106.70505200594354</v>
      </c>
      <c r="R49" s="25">
        <f t="shared" si="4"/>
        <v>59.772147947770904</v>
      </c>
      <c r="S49" s="25">
        <f t="shared" si="5"/>
        <v>59.772147947770904</v>
      </c>
    </row>
    <row r="50" spans="1:19" ht="18" customHeight="1" hidden="1">
      <c r="A50" s="19" t="s">
        <v>10</v>
      </c>
      <c r="B50" s="19"/>
      <c r="C50" s="35" t="s">
        <v>21</v>
      </c>
      <c r="D50" s="60"/>
      <c r="E50" s="60">
        <f t="shared" si="18"/>
        <v>0</v>
      </c>
      <c r="F50" s="66">
        <f t="shared" si="19"/>
        <v>0</v>
      </c>
      <c r="G50" s="60"/>
      <c r="H50" s="60"/>
      <c r="I50" s="24"/>
      <c r="J50" s="25"/>
      <c r="K50" s="25"/>
      <c r="L50" s="27"/>
      <c r="M50" s="27"/>
      <c r="N50" s="57"/>
      <c r="O50" s="57"/>
      <c r="P50" s="24" t="e">
        <f t="shared" si="2"/>
        <v>#DIV/0!</v>
      </c>
      <c r="Q50" s="27" t="e">
        <f t="shared" si="3"/>
        <v>#DIV/0!</v>
      </c>
      <c r="R50" s="25" t="e">
        <f t="shared" si="4"/>
        <v>#DIV/0!</v>
      </c>
      <c r="S50" s="25" t="e">
        <f t="shared" si="5"/>
        <v>#DIV/0!</v>
      </c>
    </row>
    <row r="51" spans="1:19" ht="24">
      <c r="A51" s="20" t="s">
        <v>11</v>
      </c>
      <c r="B51" s="20"/>
      <c r="C51" s="35" t="s">
        <v>17</v>
      </c>
      <c r="D51" s="60">
        <v>737.8</v>
      </c>
      <c r="E51" s="60">
        <f t="shared" si="18"/>
        <v>737.8</v>
      </c>
      <c r="F51" s="66">
        <f t="shared" si="19"/>
        <v>230.89999999999998</v>
      </c>
      <c r="G51" s="60">
        <v>72.8</v>
      </c>
      <c r="H51" s="60">
        <v>158.1</v>
      </c>
      <c r="I51" s="24">
        <v>173.1</v>
      </c>
      <c r="J51" s="25">
        <v>333.8</v>
      </c>
      <c r="K51" s="25">
        <v>174.1</v>
      </c>
      <c r="L51" s="27" t="e">
        <f>K51/#REF!*100</f>
        <v>#REF!</v>
      </c>
      <c r="M51" s="27">
        <f>K51/I51*100</f>
        <v>100.57770075101098</v>
      </c>
      <c r="N51" s="57"/>
      <c r="O51" s="57"/>
      <c r="P51" s="24">
        <f t="shared" si="2"/>
        <v>52.156980227681245</v>
      </c>
      <c r="Q51" s="27">
        <f t="shared" si="3"/>
        <v>75.4006063230836</v>
      </c>
      <c r="R51" s="25">
        <f t="shared" si="4"/>
        <v>23.597180807806996</v>
      </c>
      <c r="S51" s="25">
        <f t="shared" si="5"/>
        <v>23.597180807806996</v>
      </c>
    </row>
    <row r="52" spans="1:19" ht="12.75">
      <c r="A52" s="37" t="s">
        <v>42</v>
      </c>
      <c r="B52" s="37"/>
      <c r="C52" s="35" t="s">
        <v>43</v>
      </c>
      <c r="D52" s="60"/>
      <c r="E52" s="60"/>
      <c r="F52" s="66">
        <f t="shared" si="19"/>
        <v>0</v>
      </c>
      <c r="G52" s="60"/>
      <c r="H52" s="60"/>
      <c r="I52" s="24"/>
      <c r="J52" s="25"/>
      <c r="K52" s="25">
        <v>135</v>
      </c>
      <c r="L52" s="27"/>
      <c r="M52" s="27"/>
      <c r="N52" s="57"/>
      <c r="O52" s="57"/>
      <c r="P52" s="24"/>
      <c r="Q52" s="27"/>
      <c r="R52" s="25"/>
      <c r="S52" s="25"/>
    </row>
    <row r="53" spans="1:19" ht="12.75">
      <c r="A53" s="37" t="s">
        <v>18</v>
      </c>
      <c r="B53" s="37"/>
      <c r="C53" s="35" t="s">
        <v>15</v>
      </c>
      <c r="D53" s="60">
        <v>150</v>
      </c>
      <c r="E53" s="60">
        <f t="shared" si="18"/>
        <v>150</v>
      </c>
      <c r="F53" s="66">
        <f t="shared" si="19"/>
        <v>60</v>
      </c>
      <c r="G53" s="60">
        <v>15</v>
      </c>
      <c r="H53" s="60">
        <v>45</v>
      </c>
      <c r="I53" s="24">
        <v>45</v>
      </c>
      <c r="J53" s="25">
        <v>45</v>
      </c>
      <c r="K53" s="25">
        <v>28.2</v>
      </c>
      <c r="L53" s="27" t="e">
        <f>K53/#REF!*100</f>
        <v>#REF!</v>
      </c>
      <c r="M53" s="27">
        <f>K53/I53*100</f>
        <v>62.66666666666667</v>
      </c>
      <c r="N53" s="57"/>
      <c r="O53" s="57"/>
      <c r="P53" s="24">
        <f t="shared" si="2"/>
        <v>62.666666666666664</v>
      </c>
      <c r="Q53" s="27">
        <f t="shared" si="3"/>
        <v>47</v>
      </c>
      <c r="R53" s="25">
        <f t="shared" si="4"/>
        <v>18.8</v>
      </c>
      <c r="S53" s="25">
        <f t="shared" si="5"/>
        <v>18.8</v>
      </c>
    </row>
    <row r="54" spans="1:19" ht="16.5" customHeight="1">
      <c r="A54" s="28" t="s">
        <v>12</v>
      </c>
      <c r="B54" s="28"/>
      <c r="C54" s="35" t="s">
        <v>7</v>
      </c>
      <c r="D54" s="60">
        <v>7.7</v>
      </c>
      <c r="E54" s="60">
        <f t="shared" si="18"/>
        <v>7.7</v>
      </c>
      <c r="F54" s="66">
        <f t="shared" si="19"/>
        <v>0</v>
      </c>
      <c r="G54" s="60"/>
      <c r="H54" s="60"/>
      <c r="I54" s="24"/>
      <c r="J54" s="25">
        <v>7.7</v>
      </c>
      <c r="K54" s="25"/>
      <c r="L54" s="27" t="e">
        <f>K54/#REF!*100</f>
        <v>#REF!</v>
      </c>
      <c r="M54" s="27"/>
      <c r="N54" s="57"/>
      <c r="O54" s="57"/>
      <c r="P54" s="24">
        <f t="shared" si="2"/>
        <v>0</v>
      </c>
      <c r="Q54" s="27"/>
      <c r="R54" s="25">
        <f t="shared" si="4"/>
        <v>0</v>
      </c>
      <c r="S54" s="25">
        <f t="shared" si="5"/>
        <v>0</v>
      </c>
    </row>
    <row r="55" spans="1:19" ht="14.25" customHeight="1">
      <c r="A55" s="72" t="s">
        <v>39</v>
      </c>
      <c r="B55" s="68"/>
      <c r="C55" s="23" t="s">
        <v>40</v>
      </c>
      <c r="D55" s="60"/>
      <c r="E55" s="60">
        <f t="shared" si="18"/>
        <v>0</v>
      </c>
      <c r="F55" s="66">
        <f t="shared" si="19"/>
        <v>0</v>
      </c>
      <c r="G55" s="60"/>
      <c r="H55" s="60"/>
      <c r="I55" s="24"/>
      <c r="J55" s="25"/>
      <c r="K55" s="25"/>
      <c r="L55" s="27"/>
      <c r="M55" s="27"/>
      <c r="N55" s="57"/>
      <c r="O55" s="57"/>
      <c r="P55" s="24" t="e">
        <f t="shared" si="2"/>
        <v>#DIV/0!</v>
      </c>
      <c r="Q55" s="27"/>
      <c r="R55" s="25"/>
      <c r="S55" s="25"/>
    </row>
    <row r="56" spans="1:19" ht="12.75">
      <c r="A56" s="62" t="s">
        <v>1</v>
      </c>
      <c r="B56" s="62"/>
      <c r="C56" s="39" t="s">
        <v>0</v>
      </c>
      <c r="D56" s="40">
        <f>D57+D59+D58</f>
        <v>18783.7</v>
      </c>
      <c r="E56" s="40">
        <f>E57+E59+E58</f>
        <v>27585.600000000002</v>
      </c>
      <c r="F56" s="40">
        <f aca="true" t="shared" si="20" ref="F56:P56">F57+F59+F58</f>
        <v>17835.9</v>
      </c>
      <c r="G56" s="40">
        <f t="shared" si="20"/>
        <v>12081.3</v>
      </c>
      <c r="H56" s="40">
        <f t="shared" si="20"/>
        <v>5754.6</v>
      </c>
      <c r="I56" s="40">
        <f t="shared" si="20"/>
        <v>4877.2</v>
      </c>
      <c r="J56" s="40">
        <f t="shared" si="20"/>
        <v>4872.5</v>
      </c>
      <c r="K56" s="40">
        <f t="shared" si="20"/>
        <v>7574.1</v>
      </c>
      <c r="L56" s="40" t="e">
        <f t="shared" si="20"/>
        <v>#REF!</v>
      </c>
      <c r="M56" s="40">
        <f t="shared" si="20"/>
        <v>155.29607151644387</v>
      </c>
      <c r="N56" s="40">
        <f t="shared" si="20"/>
        <v>0.1</v>
      </c>
      <c r="O56" s="40">
        <f t="shared" si="20"/>
        <v>0</v>
      </c>
      <c r="P56" s="40" t="e">
        <f t="shared" si="20"/>
        <v>#DIV/0!</v>
      </c>
      <c r="Q56" s="34">
        <f t="shared" si="3"/>
        <v>42.46547693135754</v>
      </c>
      <c r="R56" s="31">
        <f t="shared" si="4"/>
        <v>27.45671654776405</v>
      </c>
      <c r="S56" s="31">
        <f t="shared" si="5"/>
        <v>40.32272661935614</v>
      </c>
    </row>
    <row r="57" spans="1:19" ht="24">
      <c r="A57" s="21" t="s">
        <v>67</v>
      </c>
      <c r="B57" s="19"/>
      <c r="C57" s="41" t="s">
        <v>20</v>
      </c>
      <c r="D57" s="44">
        <v>18783.7</v>
      </c>
      <c r="E57" s="60">
        <f t="shared" si="18"/>
        <v>27585.600000000002</v>
      </c>
      <c r="F57" s="66">
        <f t="shared" si="19"/>
        <v>17835.9</v>
      </c>
      <c r="G57" s="44">
        <f>11999.8+81.5</f>
        <v>12081.3</v>
      </c>
      <c r="H57" s="44">
        <f>4956.8+797.8</f>
        <v>5754.6</v>
      </c>
      <c r="I57" s="24">
        <v>4877.2</v>
      </c>
      <c r="J57" s="24">
        <v>4872.5</v>
      </c>
      <c r="K57" s="25">
        <v>7574.1</v>
      </c>
      <c r="L57" s="27" t="e">
        <f>K57/#REF!*100</f>
        <v>#REF!</v>
      </c>
      <c r="M57" s="27">
        <f>K57/I57*100</f>
        <v>155.29607151644387</v>
      </c>
      <c r="N57" s="57">
        <v>0.1</v>
      </c>
      <c r="O57" s="57"/>
      <c r="P57" s="24">
        <f t="shared" si="2"/>
        <v>155.4458696767573</v>
      </c>
      <c r="Q57" s="27">
        <f t="shared" si="3"/>
        <v>42.46547693135754</v>
      </c>
      <c r="R57" s="25">
        <f t="shared" si="4"/>
        <v>27.45671654776405</v>
      </c>
      <c r="S57" s="25">
        <f t="shared" si="5"/>
        <v>40.32272661935614</v>
      </c>
    </row>
    <row r="58" spans="1:19" ht="12.75" hidden="1">
      <c r="A58" s="21" t="s">
        <v>2</v>
      </c>
      <c r="B58" s="21"/>
      <c r="C58" s="42" t="s">
        <v>19</v>
      </c>
      <c r="D58" s="42"/>
      <c r="E58" s="60">
        <f>G58+H58+I58+J58</f>
        <v>0</v>
      </c>
      <c r="F58" s="60">
        <f>G58</f>
        <v>0</v>
      </c>
      <c r="G58" s="44"/>
      <c r="H58" s="44"/>
      <c r="I58" s="24"/>
      <c r="J58" s="56"/>
      <c r="K58" s="25"/>
      <c r="L58" s="27"/>
      <c r="M58" s="27"/>
      <c r="N58" s="57"/>
      <c r="O58" s="57"/>
      <c r="P58" s="24"/>
      <c r="Q58" s="27" t="e">
        <f t="shared" si="3"/>
        <v>#DIV/0!</v>
      </c>
      <c r="R58" s="25" t="e">
        <f t="shared" si="4"/>
        <v>#DIV/0!</v>
      </c>
      <c r="S58" s="25" t="e">
        <f t="shared" si="5"/>
        <v>#DIV/0!</v>
      </c>
    </row>
    <row r="59" spans="1:19" ht="24" hidden="1">
      <c r="A59" s="21" t="s">
        <v>66</v>
      </c>
      <c r="B59" s="70"/>
      <c r="C59" s="26" t="s">
        <v>63</v>
      </c>
      <c r="D59" s="26"/>
      <c r="E59" s="60">
        <f t="shared" si="18"/>
        <v>0</v>
      </c>
      <c r="F59" s="60">
        <f>G59</f>
        <v>0</v>
      </c>
      <c r="G59" s="73"/>
      <c r="H59" s="73"/>
      <c r="I59" s="24"/>
      <c r="J59" s="56"/>
      <c r="K59" s="25"/>
      <c r="L59" s="27" t="e">
        <f>K59/#REF!*100</f>
        <v>#REF!</v>
      </c>
      <c r="M59" s="27"/>
      <c r="N59" s="57"/>
      <c r="O59" s="57"/>
      <c r="P59" s="24" t="e">
        <f t="shared" si="2"/>
        <v>#DIV/0!</v>
      </c>
      <c r="Q59" s="27"/>
      <c r="R59" s="25"/>
      <c r="S59" s="25" t="e">
        <f t="shared" si="5"/>
        <v>#DIV/0!</v>
      </c>
    </row>
    <row r="60" spans="1:19" ht="12.75">
      <c r="A60" s="20"/>
      <c r="B60" s="74"/>
      <c r="C60" s="75" t="s">
        <v>4</v>
      </c>
      <c r="D60" s="76">
        <f aca="true" t="shared" si="21" ref="D60:K60">D56+D45</f>
        <v>36566.8</v>
      </c>
      <c r="E60" s="76">
        <f t="shared" si="21"/>
        <v>45368.7</v>
      </c>
      <c r="F60" s="76">
        <f t="shared" si="21"/>
        <v>26464.800000000003</v>
      </c>
      <c r="G60" s="76">
        <f t="shared" si="21"/>
        <v>16433.899999999998</v>
      </c>
      <c r="H60" s="76">
        <f t="shared" si="21"/>
        <v>10030.9</v>
      </c>
      <c r="I60" s="76">
        <f t="shared" si="21"/>
        <v>9168.5</v>
      </c>
      <c r="J60" s="76">
        <f t="shared" si="21"/>
        <v>9735.4</v>
      </c>
      <c r="K60" s="76">
        <f t="shared" si="21"/>
        <v>15495.400000000001</v>
      </c>
      <c r="L60" s="34" t="e">
        <f>K60/#REF!*100</f>
        <v>#REF!</v>
      </c>
      <c r="M60" s="34">
        <f>K60/I60*100</f>
        <v>169.00692588754978</v>
      </c>
      <c r="N60" s="57"/>
      <c r="O60" s="58" t="e">
        <f>J60+#REF!+#REF!</f>
        <v>#REF!</v>
      </c>
      <c r="P60" s="43">
        <f t="shared" si="2"/>
        <v>159.16551964993738</v>
      </c>
      <c r="Q60" s="34">
        <f t="shared" si="3"/>
        <v>58.550980925606844</v>
      </c>
      <c r="R60" s="31">
        <f t="shared" si="4"/>
        <v>34.154383969564925</v>
      </c>
      <c r="S60" s="31">
        <f t="shared" si="5"/>
        <v>42.37559753656323</v>
      </c>
    </row>
    <row r="61" spans="1:19" ht="12.7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8"/>
      <c r="N61" s="57"/>
      <c r="O61" s="57"/>
      <c r="P61" s="56"/>
      <c r="Q61" s="34"/>
      <c r="R61" s="31"/>
      <c r="S61" s="25"/>
    </row>
    <row r="62" spans="1:19" ht="12.75">
      <c r="A62" s="87" t="s">
        <v>27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9"/>
    </row>
    <row r="63" spans="1:19" ht="12.75">
      <c r="A63" s="62" t="s">
        <v>3</v>
      </c>
      <c r="B63" s="62"/>
      <c r="C63" s="63" t="s">
        <v>68</v>
      </c>
      <c r="D63" s="43">
        <f>D64+D67+D69+D71+D68+D73+D72+D66+D70+D65</f>
        <v>38555.1</v>
      </c>
      <c r="E63" s="43">
        <f>E64+E67+E69+E71+E68+E73+E72+E66+E70+E65</f>
        <v>38555.1</v>
      </c>
      <c r="F63" s="43">
        <f>F64+F67+F69+F71+F68+F73+F72+F66+F70+F65</f>
        <v>17390.3</v>
      </c>
      <c r="G63" s="43">
        <f aca="true" t="shared" si="22" ref="G63:P63">G64+G67+G69+G71+G68+G73+G72+G66+G70+G65</f>
        <v>8823.1</v>
      </c>
      <c r="H63" s="43">
        <f t="shared" si="22"/>
        <v>8567.2</v>
      </c>
      <c r="I63" s="43">
        <f t="shared" si="22"/>
        <v>9508.5</v>
      </c>
      <c r="J63" s="43">
        <f t="shared" si="22"/>
        <v>11656.3</v>
      </c>
      <c r="K63" s="43">
        <f t="shared" si="22"/>
        <v>13926.199999999997</v>
      </c>
      <c r="L63" s="43" t="e">
        <f t="shared" si="22"/>
        <v>#REF!</v>
      </c>
      <c r="M63" s="43">
        <f t="shared" si="22"/>
        <v>1799.8976632250688</v>
      </c>
      <c r="N63" s="43">
        <f t="shared" si="22"/>
        <v>0</v>
      </c>
      <c r="O63" s="43">
        <f t="shared" si="22"/>
        <v>0</v>
      </c>
      <c r="P63" s="43" t="e">
        <f t="shared" si="22"/>
        <v>#DIV/0!</v>
      </c>
      <c r="Q63" s="34">
        <f t="shared" si="3"/>
        <v>80.0802746358602</v>
      </c>
      <c r="R63" s="31">
        <f t="shared" si="4"/>
        <v>36.12025387043477</v>
      </c>
      <c r="S63" s="31">
        <f t="shared" si="5"/>
        <v>36.12025387043477</v>
      </c>
    </row>
    <row r="64" spans="1:19" ht="12.75">
      <c r="A64" s="19" t="s">
        <v>23</v>
      </c>
      <c r="B64" s="19"/>
      <c r="C64" s="65" t="s">
        <v>22</v>
      </c>
      <c r="D64" s="66">
        <v>18720</v>
      </c>
      <c r="E64" s="60">
        <f>G64+H64+I64+J64</f>
        <v>18720</v>
      </c>
      <c r="F64" s="66">
        <f aca="true" t="shared" si="23" ref="F64:F75">G64+H64</f>
        <v>9110</v>
      </c>
      <c r="G64" s="77">
        <v>4530</v>
      </c>
      <c r="H64" s="77">
        <v>4580</v>
      </c>
      <c r="I64" s="27">
        <v>4747</v>
      </c>
      <c r="J64" s="27">
        <v>4863</v>
      </c>
      <c r="K64" s="27">
        <v>7245</v>
      </c>
      <c r="L64" s="27" t="e">
        <f>K64/#REF!*100</f>
        <v>#REF!</v>
      </c>
      <c r="M64" s="27">
        <f aca="true" t="shared" si="24" ref="M64:M71">K64/I64*100</f>
        <v>152.62270907941857</v>
      </c>
      <c r="N64" s="57"/>
      <c r="O64" s="57"/>
      <c r="P64" s="27">
        <f t="shared" si="2"/>
        <v>148.98210980876001</v>
      </c>
      <c r="Q64" s="27">
        <f t="shared" si="3"/>
        <v>79.52799121844127</v>
      </c>
      <c r="R64" s="25">
        <f t="shared" si="4"/>
        <v>38.70192307692308</v>
      </c>
      <c r="S64" s="25">
        <f t="shared" si="5"/>
        <v>38.70192307692308</v>
      </c>
    </row>
    <row r="65" spans="1:19" ht="12.75">
      <c r="A65" s="19" t="s">
        <v>70</v>
      </c>
      <c r="B65" s="19"/>
      <c r="C65" s="35" t="s">
        <v>71</v>
      </c>
      <c r="D65" s="60">
        <v>5209.6</v>
      </c>
      <c r="E65" s="60">
        <f>G65+H65+I65+J65</f>
        <v>5209.6</v>
      </c>
      <c r="F65" s="66">
        <f t="shared" si="23"/>
        <v>2559.1</v>
      </c>
      <c r="G65" s="77">
        <v>1295.1</v>
      </c>
      <c r="H65" s="77">
        <v>1264</v>
      </c>
      <c r="I65" s="27">
        <v>1345.1</v>
      </c>
      <c r="J65" s="27">
        <v>1305.4</v>
      </c>
      <c r="K65" s="27">
        <v>2300.3</v>
      </c>
      <c r="L65" s="27"/>
      <c r="M65" s="27"/>
      <c r="N65" s="57"/>
      <c r="O65" s="57"/>
      <c r="P65" s="27"/>
      <c r="Q65" s="27">
        <f>K65*100/F65</f>
        <v>89.8870696729319</v>
      </c>
      <c r="R65" s="25">
        <f>K65*100/E65</f>
        <v>44.155021498771504</v>
      </c>
      <c r="S65" s="25">
        <f t="shared" si="5"/>
        <v>44.155021498771504</v>
      </c>
    </row>
    <row r="66" spans="1:19" ht="12.75">
      <c r="A66" s="19" t="s">
        <v>8</v>
      </c>
      <c r="B66" s="19"/>
      <c r="C66" s="35" t="s">
        <v>5</v>
      </c>
      <c r="D66" s="60">
        <v>47</v>
      </c>
      <c r="E66" s="60">
        <f aca="true" t="shared" si="25" ref="E66:E76">G66+H66+I66+J66</f>
        <v>47</v>
      </c>
      <c r="F66" s="66">
        <f t="shared" si="23"/>
        <v>23.5</v>
      </c>
      <c r="G66" s="44">
        <v>11.7</v>
      </c>
      <c r="H66" s="44">
        <v>11.8</v>
      </c>
      <c r="I66" s="24">
        <v>11.7</v>
      </c>
      <c r="J66" s="24">
        <v>11.8</v>
      </c>
      <c r="K66" s="24">
        <v>82.4</v>
      </c>
      <c r="L66" s="27" t="e">
        <f>K66/#REF!*100</f>
        <v>#REF!</v>
      </c>
      <c r="M66" s="27">
        <f t="shared" si="24"/>
        <v>704.2735042735044</v>
      </c>
      <c r="N66" s="57"/>
      <c r="O66" s="57"/>
      <c r="P66" s="24">
        <f t="shared" si="2"/>
        <v>698.3050847457627</v>
      </c>
      <c r="Q66" s="27">
        <f t="shared" si="3"/>
        <v>350.63829787234044</v>
      </c>
      <c r="R66" s="25">
        <f t="shared" si="4"/>
        <v>175.31914893617022</v>
      </c>
      <c r="S66" s="25">
        <f t="shared" si="5"/>
        <v>175.31914893617022</v>
      </c>
    </row>
    <row r="67" spans="1:19" ht="12.75">
      <c r="A67" s="19" t="s">
        <v>9</v>
      </c>
      <c r="B67" s="19"/>
      <c r="C67" s="35" t="s">
        <v>6</v>
      </c>
      <c r="D67" s="60">
        <v>7580</v>
      </c>
      <c r="E67" s="60">
        <f t="shared" si="25"/>
        <v>7580</v>
      </c>
      <c r="F67" s="66">
        <f t="shared" si="23"/>
        <v>2240</v>
      </c>
      <c r="G67" s="44">
        <v>1260</v>
      </c>
      <c r="H67" s="44">
        <v>980</v>
      </c>
      <c r="I67" s="24">
        <v>1670</v>
      </c>
      <c r="J67" s="24">
        <v>3670</v>
      </c>
      <c r="K67" s="24">
        <v>1729.9</v>
      </c>
      <c r="L67" s="27" t="e">
        <f>K67/#REF!*100</f>
        <v>#REF!</v>
      </c>
      <c r="M67" s="27">
        <f t="shared" si="24"/>
        <v>103.5868263473054</v>
      </c>
      <c r="N67" s="57"/>
      <c r="O67" s="57"/>
      <c r="P67" s="24">
        <f t="shared" si="2"/>
        <v>47.13623978201635</v>
      </c>
      <c r="Q67" s="27">
        <f t="shared" si="3"/>
        <v>77.22767857142857</v>
      </c>
      <c r="R67" s="25">
        <f t="shared" si="4"/>
        <v>22.821899736147756</v>
      </c>
      <c r="S67" s="25">
        <f t="shared" si="5"/>
        <v>22.821899736147756</v>
      </c>
    </row>
    <row r="68" spans="1:19" ht="18.75" customHeight="1">
      <c r="A68" s="19" t="s">
        <v>10</v>
      </c>
      <c r="B68" s="19"/>
      <c r="C68" s="35" t="s">
        <v>21</v>
      </c>
      <c r="D68" s="60">
        <v>16</v>
      </c>
      <c r="E68" s="60">
        <f t="shared" si="25"/>
        <v>16</v>
      </c>
      <c r="F68" s="66">
        <f t="shared" si="23"/>
        <v>7</v>
      </c>
      <c r="G68" s="44">
        <v>1</v>
      </c>
      <c r="H68" s="44">
        <v>6</v>
      </c>
      <c r="I68" s="24">
        <v>9</v>
      </c>
      <c r="J68" s="24"/>
      <c r="K68" s="24">
        <v>46.4</v>
      </c>
      <c r="L68" s="27"/>
      <c r="M68" s="27">
        <f t="shared" si="24"/>
        <v>515.5555555555555</v>
      </c>
      <c r="N68" s="57"/>
      <c r="O68" s="57"/>
      <c r="P68" s="24" t="e">
        <f t="shared" si="2"/>
        <v>#DIV/0!</v>
      </c>
      <c r="Q68" s="27">
        <f>K68*100/F68</f>
        <v>662.8571428571429</v>
      </c>
      <c r="R68" s="25">
        <f>K68*100/E68</f>
        <v>290</v>
      </c>
      <c r="S68" s="25">
        <f t="shared" si="5"/>
        <v>290</v>
      </c>
    </row>
    <row r="69" spans="1:19" ht="24">
      <c r="A69" s="20" t="s">
        <v>11</v>
      </c>
      <c r="B69" s="20"/>
      <c r="C69" s="35" t="s">
        <v>17</v>
      </c>
      <c r="D69" s="60">
        <v>6807.5</v>
      </c>
      <c r="E69" s="60">
        <f t="shared" si="25"/>
        <v>6807.5</v>
      </c>
      <c r="F69" s="66">
        <f t="shared" si="23"/>
        <v>3363.7</v>
      </c>
      <c r="G69" s="44">
        <v>1681.8</v>
      </c>
      <c r="H69" s="44">
        <v>1681.9</v>
      </c>
      <c r="I69" s="24">
        <v>1682.2</v>
      </c>
      <c r="J69" s="24">
        <v>1761.6</v>
      </c>
      <c r="K69" s="24">
        <v>2443.2</v>
      </c>
      <c r="L69" s="27" t="e">
        <f>K69/#REF!*100</f>
        <v>#REF!</v>
      </c>
      <c r="M69" s="27">
        <f t="shared" si="24"/>
        <v>145.23837831411245</v>
      </c>
      <c r="N69" s="57"/>
      <c r="O69" s="57"/>
      <c r="P69" s="24">
        <f t="shared" si="2"/>
        <v>138.69209809264305</v>
      </c>
      <c r="Q69" s="27">
        <f t="shared" si="3"/>
        <v>72.63430151321461</v>
      </c>
      <c r="R69" s="25">
        <f t="shared" si="4"/>
        <v>35.88982739625413</v>
      </c>
      <c r="S69" s="25">
        <f t="shared" si="5"/>
        <v>35.88982739625413</v>
      </c>
    </row>
    <row r="70" spans="1:19" ht="14.25" customHeight="1">
      <c r="A70" s="37" t="s">
        <v>42</v>
      </c>
      <c r="B70" s="37"/>
      <c r="C70" s="35" t="s">
        <v>43</v>
      </c>
      <c r="D70" s="60"/>
      <c r="E70" s="60">
        <f t="shared" si="25"/>
        <v>0</v>
      </c>
      <c r="F70" s="66">
        <f t="shared" si="23"/>
        <v>0</v>
      </c>
      <c r="G70" s="44"/>
      <c r="H70" s="44"/>
      <c r="I70" s="24"/>
      <c r="J70" s="24"/>
      <c r="K70" s="24">
        <v>1.3</v>
      </c>
      <c r="L70" s="27" t="e">
        <f>K70/#REF!*100</f>
        <v>#REF!</v>
      </c>
      <c r="M70" s="27"/>
      <c r="N70" s="57"/>
      <c r="O70" s="57"/>
      <c r="P70" s="24" t="e">
        <f t="shared" si="2"/>
        <v>#DIV/0!</v>
      </c>
      <c r="Q70" s="27"/>
      <c r="R70" s="25"/>
      <c r="S70" s="25"/>
    </row>
    <row r="71" spans="1:19" ht="12.75">
      <c r="A71" s="36" t="s">
        <v>18</v>
      </c>
      <c r="B71" s="36"/>
      <c r="C71" s="35" t="s">
        <v>15</v>
      </c>
      <c r="D71" s="60">
        <v>175</v>
      </c>
      <c r="E71" s="60">
        <f t="shared" si="25"/>
        <v>175</v>
      </c>
      <c r="F71" s="66">
        <f t="shared" si="23"/>
        <v>87</v>
      </c>
      <c r="G71" s="44">
        <v>43.5</v>
      </c>
      <c r="H71" s="44">
        <v>43.5</v>
      </c>
      <c r="I71" s="24">
        <v>43.5</v>
      </c>
      <c r="J71" s="24">
        <v>44.5</v>
      </c>
      <c r="K71" s="24">
        <v>77.7</v>
      </c>
      <c r="L71" s="27" t="e">
        <f>K71/#REF!*100</f>
        <v>#REF!</v>
      </c>
      <c r="M71" s="27">
        <f t="shared" si="24"/>
        <v>178.6206896551724</v>
      </c>
      <c r="N71" s="57"/>
      <c r="O71" s="57"/>
      <c r="P71" s="24">
        <f t="shared" si="2"/>
        <v>174.6067415730337</v>
      </c>
      <c r="Q71" s="27">
        <f t="shared" si="3"/>
        <v>89.3103448275862</v>
      </c>
      <c r="R71" s="25">
        <f t="shared" si="4"/>
        <v>44.4</v>
      </c>
      <c r="S71" s="25">
        <f t="shared" si="5"/>
        <v>44.4</v>
      </c>
    </row>
    <row r="72" spans="1:19" ht="12" customHeight="1" hidden="1">
      <c r="A72" s="28" t="s">
        <v>12</v>
      </c>
      <c r="B72" s="28"/>
      <c r="C72" s="35" t="s">
        <v>7</v>
      </c>
      <c r="D72" s="60"/>
      <c r="E72" s="60">
        <f t="shared" si="25"/>
        <v>0</v>
      </c>
      <c r="F72" s="66">
        <f t="shared" si="23"/>
        <v>0</v>
      </c>
      <c r="G72" s="44"/>
      <c r="H72" s="44"/>
      <c r="I72" s="24"/>
      <c r="J72" s="24"/>
      <c r="K72" s="24"/>
      <c r="L72" s="27"/>
      <c r="M72" s="27"/>
      <c r="N72" s="57"/>
      <c r="O72" s="57"/>
      <c r="P72" s="24" t="e">
        <f t="shared" si="2"/>
        <v>#DIV/0!</v>
      </c>
      <c r="Q72" s="27"/>
      <c r="R72" s="25"/>
      <c r="S72" s="25" t="e">
        <f t="shared" si="5"/>
        <v>#DIV/0!</v>
      </c>
    </row>
    <row r="73" spans="1:19" ht="12.75">
      <c r="A73" s="38" t="s">
        <v>39</v>
      </c>
      <c r="B73" s="68"/>
      <c r="C73" s="23" t="s">
        <v>40</v>
      </c>
      <c r="D73" s="60"/>
      <c r="E73" s="60">
        <f t="shared" si="25"/>
        <v>0</v>
      </c>
      <c r="F73" s="66">
        <f t="shared" si="23"/>
        <v>0</v>
      </c>
      <c r="G73" s="44"/>
      <c r="H73" s="44"/>
      <c r="I73" s="24"/>
      <c r="J73" s="24"/>
      <c r="K73" s="24"/>
      <c r="L73" s="27"/>
      <c r="M73" s="27"/>
      <c r="N73" s="57"/>
      <c r="O73" s="57"/>
      <c r="P73" s="24" t="e">
        <f t="shared" si="2"/>
        <v>#DIV/0!</v>
      </c>
      <c r="Q73" s="27"/>
      <c r="R73" s="25"/>
      <c r="S73" s="25"/>
    </row>
    <row r="74" spans="1:19" ht="12.75">
      <c r="A74" s="32" t="s">
        <v>1</v>
      </c>
      <c r="B74" s="32"/>
      <c r="C74" s="39" t="s">
        <v>0</v>
      </c>
      <c r="D74" s="40">
        <f aca="true" t="shared" si="26" ref="D74:K74">D75+D76</f>
        <v>21593.7</v>
      </c>
      <c r="E74" s="40">
        <f t="shared" si="26"/>
        <v>33707.3</v>
      </c>
      <c r="F74" s="40">
        <f t="shared" si="26"/>
        <v>22910.4</v>
      </c>
      <c r="G74" s="40">
        <f t="shared" si="26"/>
        <v>15097.4</v>
      </c>
      <c r="H74" s="40">
        <f t="shared" si="26"/>
        <v>7813</v>
      </c>
      <c r="I74" s="40">
        <f t="shared" si="26"/>
        <v>5775.2</v>
      </c>
      <c r="J74" s="40">
        <f t="shared" si="26"/>
        <v>5021.7</v>
      </c>
      <c r="K74" s="40">
        <f t="shared" si="26"/>
        <v>8559.7</v>
      </c>
      <c r="L74" s="34" t="e">
        <f>K74/#REF!*100</f>
        <v>#REF!</v>
      </c>
      <c r="M74" s="34">
        <f>K74/I74*100</f>
        <v>148.21478044050426</v>
      </c>
      <c r="N74" s="57"/>
      <c r="O74" s="57"/>
      <c r="P74" s="43">
        <f t="shared" si="2"/>
        <v>170.45422864766914</v>
      </c>
      <c r="Q74" s="34">
        <f t="shared" si="3"/>
        <v>37.361634890704664</v>
      </c>
      <c r="R74" s="31">
        <f t="shared" si="4"/>
        <v>25.394202442794292</v>
      </c>
      <c r="S74" s="31">
        <f aca="true" t="shared" si="27" ref="S74:S136">K74*100/D74</f>
        <v>39.63980234975943</v>
      </c>
    </row>
    <row r="75" spans="1:19" ht="24">
      <c r="A75" s="21" t="s">
        <v>67</v>
      </c>
      <c r="B75" s="19"/>
      <c r="C75" s="41" t="s">
        <v>20</v>
      </c>
      <c r="D75" s="44">
        <v>21593.7</v>
      </c>
      <c r="E75" s="60">
        <f t="shared" si="25"/>
        <v>33707.3</v>
      </c>
      <c r="F75" s="66">
        <f t="shared" si="23"/>
        <v>22910.4</v>
      </c>
      <c r="G75" s="44">
        <f>15005.1+92.3</f>
        <v>15097.4</v>
      </c>
      <c r="H75" s="44">
        <f>6683.6+1129.4</f>
        <v>7813</v>
      </c>
      <c r="I75" s="24">
        <v>5775.2</v>
      </c>
      <c r="J75" s="25">
        <v>5021.7</v>
      </c>
      <c r="K75" s="25">
        <v>8534.7</v>
      </c>
      <c r="L75" s="27" t="e">
        <f>K75/#REF!*100</f>
        <v>#REF!</v>
      </c>
      <c r="M75" s="27">
        <f>K75/I75*100</f>
        <v>147.7818949993074</v>
      </c>
      <c r="N75" s="57"/>
      <c r="O75" s="57"/>
      <c r="P75" s="24">
        <f t="shared" si="2"/>
        <v>169.95638927056578</v>
      </c>
      <c r="Q75" s="27">
        <f t="shared" si="3"/>
        <v>37.25251414204903</v>
      </c>
      <c r="R75" s="25">
        <f t="shared" si="4"/>
        <v>25.320034532578997</v>
      </c>
      <c r="S75" s="25">
        <f t="shared" si="27"/>
        <v>39.52402784145376</v>
      </c>
    </row>
    <row r="76" spans="1:19" ht="23.25" customHeight="1">
      <c r="A76" s="21" t="s">
        <v>2</v>
      </c>
      <c r="B76" s="21"/>
      <c r="C76" s="42" t="s">
        <v>19</v>
      </c>
      <c r="D76" s="69"/>
      <c r="E76" s="60">
        <f t="shared" si="25"/>
        <v>0</v>
      </c>
      <c r="F76" s="60">
        <f>G76</f>
        <v>0</v>
      </c>
      <c r="G76" s="73"/>
      <c r="H76" s="73"/>
      <c r="I76" s="24"/>
      <c r="J76" s="25"/>
      <c r="K76" s="25">
        <v>25</v>
      </c>
      <c r="L76" s="27" t="e">
        <f>K76/#REF!*100</f>
        <v>#REF!</v>
      </c>
      <c r="M76" s="27"/>
      <c r="N76" s="57"/>
      <c r="O76" s="57"/>
      <c r="P76" s="24" t="e">
        <f t="shared" si="2"/>
        <v>#DIV/0!</v>
      </c>
      <c r="Q76" s="34"/>
      <c r="R76" s="31"/>
      <c r="S76" s="25"/>
    </row>
    <row r="77" spans="1:19" ht="12.75">
      <c r="A77" s="28"/>
      <c r="B77" s="29"/>
      <c r="C77" s="30" t="s">
        <v>4</v>
      </c>
      <c r="D77" s="31">
        <f aca="true" t="shared" si="28" ref="D77:L77">D74+D63</f>
        <v>60148.8</v>
      </c>
      <c r="E77" s="31">
        <f t="shared" si="28"/>
        <v>72262.4</v>
      </c>
      <c r="F77" s="31">
        <f t="shared" si="28"/>
        <v>40300.7</v>
      </c>
      <c r="G77" s="31">
        <f t="shared" si="28"/>
        <v>23920.5</v>
      </c>
      <c r="H77" s="31">
        <f t="shared" si="28"/>
        <v>16380.2</v>
      </c>
      <c r="I77" s="31">
        <f t="shared" si="28"/>
        <v>15283.7</v>
      </c>
      <c r="J77" s="31">
        <f t="shared" si="28"/>
        <v>16678</v>
      </c>
      <c r="K77" s="31">
        <f t="shared" si="28"/>
        <v>22485.899999999998</v>
      </c>
      <c r="L77" s="31" t="e">
        <f t="shared" si="28"/>
        <v>#REF!</v>
      </c>
      <c r="M77" s="34">
        <f>K77/I77*100</f>
        <v>147.12340598153585</v>
      </c>
      <c r="N77" s="57"/>
      <c r="O77" s="58" t="e">
        <f>J77+#REF!+#REF!</f>
        <v>#REF!</v>
      </c>
      <c r="P77" s="43">
        <f t="shared" si="2"/>
        <v>134.82371987048808</v>
      </c>
      <c r="Q77" s="34">
        <f t="shared" si="3"/>
        <v>55.795308766348974</v>
      </c>
      <c r="R77" s="31">
        <f t="shared" si="4"/>
        <v>31.117012443539103</v>
      </c>
      <c r="S77" s="31">
        <f t="shared" si="27"/>
        <v>37.38378820525097</v>
      </c>
    </row>
    <row r="78" spans="1:19" ht="12.75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8"/>
      <c r="N78" s="57"/>
      <c r="O78" s="57"/>
      <c r="P78" s="56"/>
      <c r="Q78" s="34"/>
      <c r="R78" s="31"/>
      <c r="S78" s="25"/>
    </row>
    <row r="79" spans="1:19" ht="12.75">
      <c r="A79" s="87" t="s">
        <v>28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9"/>
    </row>
    <row r="80" spans="1:19" ht="12.75">
      <c r="A80" s="32" t="s">
        <v>3</v>
      </c>
      <c r="B80" s="32"/>
      <c r="C80" s="33" t="s">
        <v>68</v>
      </c>
      <c r="D80" s="34">
        <f aca="true" t="shared" si="29" ref="D80:J80">D81+D83+D84+D85+D86+D87+D88+D89+D90+D82</f>
        <v>33870.6</v>
      </c>
      <c r="E80" s="34">
        <f t="shared" si="29"/>
        <v>33870.6</v>
      </c>
      <c r="F80" s="34">
        <f t="shared" si="29"/>
        <v>14772.5</v>
      </c>
      <c r="G80" s="34">
        <f t="shared" si="29"/>
        <v>6759.9</v>
      </c>
      <c r="H80" s="34">
        <f t="shared" si="29"/>
        <v>8012.6</v>
      </c>
      <c r="I80" s="34">
        <f t="shared" si="29"/>
        <v>8477.2</v>
      </c>
      <c r="J80" s="34">
        <f t="shared" si="29"/>
        <v>10620.9</v>
      </c>
      <c r="K80" s="34">
        <f>K81+K83+K84+K85+K86+K87+K88+K89+K90+K82+0.1</f>
        <v>16263</v>
      </c>
      <c r="L80" s="34" t="e">
        <f>K80/#REF!*100</f>
        <v>#REF!</v>
      </c>
      <c r="M80" s="34">
        <f>K80/I80*100</f>
        <v>191.84400509602227</v>
      </c>
      <c r="N80" s="57"/>
      <c r="O80" s="57"/>
      <c r="P80" s="34">
        <f t="shared" si="2"/>
        <v>153.12261672739598</v>
      </c>
      <c r="Q80" s="34">
        <f aca="true" t="shared" si="30" ref="Q80:Q148">K80*100/F80</f>
        <v>110.0896936875952</v>
      </c>
      <c r="R80" s="31">
        <f aca="true" t="shared" si="31" ref="R80:R148">K80*100/E80</f>
        <v>48.015092735292555</v>
      </c>
      <c r="S80" s="31">
        <f t="shared" si="27"/>
        <v>48.015092735292555</v>
      </c>
    </row>
    <row r="81" spans="1:19" ht="13.5" customHeight="1">
      <c r="A81" s="28" t="s">
        <v>23</v>
      </c>
      <c r="B81" s="28"/>
      <c r="C81" s="35" t="s">
        <v>22</v>
      </c>
      <c r="D81" s="60">
        <v>20750</v>
      </c>
      <c r="E81" s="60">
        <f>G81+H81+I81+J81</f>
        <v>20750</v>
      </c>
      <c r="F81" s="66">
        <f aca="true" t="shared" si="32" ref="F81:F90">G81+H81</f>
        <v>9420</v>
      </c>
      <c r="G81" s="44">
        <v>4270</v>
      </c>
      <c r="H81" s="44">
        <v>5150</v>
      </c>
      <c r="I81" s="24">
        <v>5580</v>
      </c>
      <c r="J81" s="24">
        <v>5750</v>
      </c>
      <c r="K81" s="25">
        <v>10379.9</v>
      </c>
      <c r="L81" s="27" t="e">
        <f>K81/#REF!*100</f>
        <v>#REF!</v>
      </c>
      <c r="M81" s="27">
        <f>K81/I81*100</f>
        <v>186.01971326164875</v>
      </c>
      <c r="N81" s="57"/>
      <c r="O81" s="57"/>
      <c r="P81" s="24">
        <f aca="true" t="shared" si="33" ref="P81:P153">K81*100/J81</f>
        <v>180.52</v>
      </c>
      <c r="Q81" s="27">
        <f t="shared" si="30"/>
        <v>110.1900212314225</v>
      </c>
      <c r="R81" s="25">
        <f t="shared" si="31"/>
        <v>50.02361445783133</v>
      </c>
      <c r="S81" s="25">
        <f t="shared" si="27"/>
        <v>50.02361445783133</v>
      </c>
    </row>
    <row r="82" spans="1:19" ht="15.75" customHeight="1">
      <c r="A82" s="19" t="s">
        <v>70</v>
      </c>
      <c r="B82" s="19"/>
      <c r="C82" s="35" t="s">
        <v>71</v>
      </c>
      <c r="D82" s="60">
        <v>4231.6</v>
      </c>
      <c r="E82" s="60">
        <f>G82+H82+I82+J82</f>
        <v>4231.6</v>
      </c>
      <c r="F82" s="66">
        <f t="shared" si="32"/>
        <v>1939.9</v>
      </c>
      <c r="G82" s="44">
        <v>954.9</v>
      </c>
      <c r="H82" s="44">
        <v>985</v>
      </c>
      <c r="I82" s="24">
        <v>1155.2</v>
      </c>
      <c r="J82" s="24">
        <v>1136.5</v>
      </c>
      <c r="K82" s="25">
        <v>1868.5</v>
      </c>
      <c r="L82" s="27"/>
      <c r="M82" s="27"/>
      <c r="N82" s="57"/>
      <c r="O82" s="57"/>
      <c r="P82" s="24"/>
      <c r="Q82" s="27">
        <f>K82*100/F82</f>
        <v>96.31939790710861</v>
      </c>
      <c r="R82" s="25">
        <f>K82*100/E82</f>
        <v>44.15587484639379</v>
      </c>
      <c r="S82" s="25">
        <f t="shared" si="27"/>
        <v>44.15587484639379</v>
      </c>
    </row>
    <row r="83" spans="1:19" ht="15" customHeight="1" hidden="1">
      <c r="A83" s="19" t="s">
        <v>8</v>
      </c>
      <c r="B83" s="19"/>
      <c r="C83" s="35" t="s">
        <v>5</v>
      </c>
      <c r="D83" s="60"/>
      <c r="E83" s="60">
        <f aca="true" t="shared" si="34" ref="E83:E90">G83+H83+I83+J83</f>
        <v>0</v>
      </c>
      <c r="F83" s="66">
        <f t="shared" si="32"/>
        <v>0</v>
      </c>
      <c r="G83" s="44"/>
      <c r="H83" s="44"/>
      <c r="I83" s="24"/>
      <c r="J83" s="24"/>
      <c r="K83" s="25"/>
      <c r="L83" s="27"/>
      <c r="M83" s="27"/>
      <c r="N83" s="57"/>
      <c r="O83" s="57"/>
      <c r="P83" s="24" t="e">
        <f t="shared" si="33"/>
        <v>#DIV/0!</v>
      </c>
      <c r="Q83" s="27" t="e">
        <f>K83*100/F83</f>
        <v>#DIV/0!</v>
      </c>
      <c r="R83" s="25" t="e">
        <f>K83*100/E83</f>
        <v>#DIV/0!</v>
      </c>
      <c r="S83" s="25" t="e">
        <f t="shared" si="27"/>
        <v>#DIV/0!</v>
      </c>
    </row>
    <row r="84" spans="1:19" ht="12.75">
      <c r="A84" s="19" t="s">
        <v>9</v>
      </c>
      <c r="B84" s="19"/>
      <c r="C84" s="35" t="s">
        <v>6</v>
      </c>
      <c r="D84" s="60">
        <v>2145</v>
      </c>
      <c r="E84" s="60">
        <f t="shared" si="34"/>
        <v>2145</v>
      </c>
      <c r="F84" s="66">
        <f t="shared" si="32"/>
        <v>835</v>
      </c>
      <c r="G84" s="44">
        <v>375</v>
      </c>
      <c r="H84" s="44">
        <v>460</v>
      </c>
      <c r="I84" s="24">
        <v>219</v>
      </c>
      <c r="J84" s="24">
        <v>1091</v>
      </c>
      <c r="K84" s="25">
        <v>663.3</v>
      </c>
      <c r="L84" s="27" t="e">
        <f>K84/#REF!*100</f>
        <v>#REF!</v>
      </c>
      <c r="M84" s="27">
        <f>K84/I84*100</f>
        <v>302.8767123287671</v>
      </c>
      <c r="N84" s="57"/>
      <c r="O84" s="57"/>
      <c r="P84" s="24">
        <f t="shared" si="33"/>
        <v>60.7974335472044</v>
      </c>
      <c r="Q84" s="27">
        <f t="shared" si="30"/>
        <v>79.437125748503</v>
      </c>
      <c r="R84" s="25">
        <f t="shared" si="31"/>
        <v>30.923076923076923</v>
      </c>
      <c r="S84" s="25">
        <f t="shared" si="27"/>
        <v>30.923076923076923</v>
      </c>
    </row>
    <row r="85" spans="1:19" ht="12.75" hidden="1">
      <c r="A85" s="19" t="s">
        <v>10</v>
      </c>
      <c r="B85" s="19"/>
      <c r="C85" s="35" t="s">
        <v>21</v>
      </c>
      <c r="D85" s="60"/>
      <c r="E85" s="60">
        <f t="shared" si="34"/>
        <v>0</v>
      </c>
      <c r="F85" s="66">
        <f t="shared" si="32"/>
        <v>0</v>
      </c>
      <c r="G85" s="44"/>
      <c r="H85" s="44"/>
      <c r="I85" s="24"/>
      <c r="J85" s="24"/>
      <c r="K85" s="25"/>
      <c r="L85" s="27"/>
      <c r="M85" s="27"/>
      <c r="N85" s="57"/>
      <c r="O85" s="57"/>
      <c r="P85" s="24" t="e">
        <f t="shared" si="33"/>
        <v>#DIV/0!</v>
      </c>
      <c r="Q85" s="27" t="e">
        <f t="shared" si="30"/>
        <v>#DIV/0!</v>
      </c>
      <c r="R85" s="25" t="e">
        <f t="shared" si="31"/>
        <v>#DIV/0!</v>
      </c>
      <c r="S85" s="25" t="e">
        <f t="shared" si="27"/>
        <v>#DIV/0!</v>
      </c>
    </row>
    <row r="86" spans="1:19" ht="24">
      <c r="A86" s="20" t="s">
        <v>11</v>
      </c>
      <c r="B86" s="20"/>
      <c r="C86" s="35" t="s">
        <v>17</v>
      </c>
      <c r="D86" s="60">
        <v>6132.5</v>
      </c>
      <c r="E86" s="60">
        <f t="shared" si="34"/>
        <v>6132.5</v>
      </c>
      <c r="F86" s="66">
        <f t="shared" si="32"/>
        <v>2313.6</v>
      </c>
      <c r="G86" s="44">
        <v>1040</v>
      </c>
      <c r="H86" s="44">
        <v>1273.6</v>
      </c>
      <c r="I86" s="24">
        <v>1459</v>
      </c>
      <c r="J86" s="24">
        <v>2359.9</v>
      </c>
      <c r="K86" s="25">
        <v>2873.1</v>
      </c>
      <c r="L86" s="27" t="e">
        <f>K86/#REF!*100</f>
        <v>#REF!</v>
      </c>
      <c r="M86" s="27">
        <f>K86/I86*100</f>
        <v>196.92254969156957</v>
      </c>
      <c r="N86" s="57"/>
      <c r="O86" s="57"/>
      <c r="P86" s="24">
        <f t="shared" si="33"/>
        <v>121.74668418153311</v>
      </c>
      <c r="Q86" s="27">
        <f t="shared" si="30"/>
        <v>124.18309128630706</v>
      </c>
      <c r="R86" s="25">
        <f t="shared" si="31"/>
        <v>46.850387280880554</v>
      </c>
      <c r="S86" s="25">
        <f t="shared" si="27"/>
        <v>46.850387280880554</v>
      </c>
    </row>
    <row r="87" spans="1:19" ht="12.75">
      <c r="A87" s="37" t="s">
        <v>42</v>
      </c>
      <c r="B87" s="37"/>
      <c r="C87" s="35" t="s">
        <v>43</v>
      </c>
      <c r="D87" s="60">
        <v>479</v>
      </c>
      <c r="E87" s="60">
        <f t="shared" si="34"/>
        <v>479</v>
      </c>
      <c r="F87" s="66">
        <f t="shared" si="32"/>
        <v>229</v>
      </c>
      <c r="G87" s="44">
        <v>110</v>
      </c>
      <c r="H87" s="44">
        <v>119</v>
      </c>
      <c r="I87" s="24">
        <v>50</v>
      </c>
      <c r="J87" s="24">
        <v>200</v>
      </c>
      <c r="K87" s="25">
        <v>270</v>
      </c>
      <c r="L87" s="27" t="e">
        <f>K87/#REF!*100</f>
        <v>#REF!</v>
      </c>
      <c r="M87" s="27">
        <f>K87/I87*100</f>
        <v>540</v>
      </c>
      <c r="N87" s="57"/>
      <c r="O87" s="57"/>
      <c r="P87" s="24">
        <f t="shared" si="33"/>
        <v>135</v>
      </c>
      <c r="Q87" s="27">
        <f t="shared" si="30"/>
        <v>117.90393013100437</v>
      </c>
      <c r="R87" s="25">
        <f t="shared" si="31"/>
        <v>56.36743215031315</v>
      </c>
      <c r="S87" s="25">
        <f t="shared" si="27"/>
        <v>56.36743215031315</v>
      </c>
    </row>
    <row r="88" spans="1:19" ht="12.75">
      <c r="A88" s="36" t="s">
        <v>18</v>
      </c>
      <c r="B88" s="36"/>
      <c r="C88" s="35" t="s">
        <v>15</v>
      </c>
      <c r="D88" s="60">
        <v>132.5</v>
      </c>
      <c r="E88" s="60">
        <f t="shared" si="34"/>
        <v>132.5</v>
      </c>
      <c r="F88" s="66">
        <f t="shared" si="32"/>
        <v>35</v>
      </c>
      <c r="G88" s="44">
        <v>10</v>
      </c>
      <c r="H88" s="44">
        <v>25</v>
      </c>
      <c r="I88" s="24">
        <v>14</v>
      </c>
      <c r="J88" s="24">
        <v>83.5</v>
      </c>
      <c r="K88" s="25">
        <v>108.7</v>
      </c>
      <c r="L88" s="27" t="e">
        <f>K88/#REF!*100</f>
        <v>#REF!</v>
      </c>
      <c r="M88" s="27">
        <f>K88/I88*100</f>
        <v>776.4285714285714</v>
      </c>
      <c r="N88" s="57"/>
      <c r="O88" s="57"/>
      <c r="P88" s="24">
        <f t="shared" si="33"/>
        <v>130.17964071856287</v>
      </c>
      <c r="Q88" s="27">
        <f t="shared" si="30"/>
        <v>310.57142857142856</v>
      </c>
      <c r="R88" s="25">
        <f t="shared" si="31"/>
        <v>82.0377358490566</v>
      </c>
      <c r="S88" s="25">
        <f t="shared" si="27"/>
        <v>82.0377358490566</v>
      </c>
    </row>
    <row r="89" spans="1:19" ht="14.25" customHeight="1">
      <c r="A89" s="28" t="s">
        <v>12</v>
      </c>
      <c r="B89" s="28"/>
      <c r="C89" s="35" t="s">
        <v>7</v>
      </c>
      <c r="D89" s="60"/>
      <c r="E89" s="60">
        <f t="shared" si="34"/>
        <v>0</v>
      </c>
      <c r="F89" s="66">
        <f t="shared" si="32"/>
        <v>0</v>
      </c>
      <c r="G89" s="44"/>
      <c r="H89" s="44"/>
      <c r="I89" s="24"/>
      <c r="J89" s="24"/>
      <c r="K89" s="25">
        <v>10</v>
      </c>
      <c r="L89" s="34"/>
      <c r="M89" s="34"/>
      <c r="N89" s="57"/>
      <c r="O89" s="57"/>
      <c r="P89" s="24" t="e">
        <f t="shared" si="33"/>
        <v>#DIV/0!</v>
      </c>
      <c r="Q89" s="27"/>
      <c r="R89" s="25"/>
      <c r="S89" s="25"/>
    </row>
    <row r="90" spans="1:19" ht="12.75">
      <c r="A90" s="38" t="s">
        <v>39</v>
      </c>
      <c r="B90" s="68"/>
      <c r="C90" s="23" t="s">
        <v>40</v>
      </c>
      <c r="D90" s="60"/>
      <c r="E90" s="60">
        <f t="shared" si="34"/>
        <v>0</v>
      </c>
      <c r="F90" s="66">
        <f t="shared" si="32"/>
        <v>0</v>
      </c>
      <c r="G90" s="44"/>
      <c r="H90" s="44"/>
      <c r="I90" s="24"/>
      <c r="J90" s="24"/>
      <c r="K90" s="25">
        <v>89.4</v>
      </c>
      <c r="L90" s="34"/>
      <c r="M90" s="34"/>
      <c r="N90" s="57"/>
      <c r="O90" s="57"/>
      <c r="P90" s="24" t="e">
        <f t="shared" si="33"/>
        <v>#DIV/0!</v>
      </c>
      <c r="Q90" s="27"/>
      <c r="R90" s="25"/>
      <c r="S90" s="25"/>
    </row>
    <row r="91" spans="1:19" ht="12.75" hidden="1">
      <c r="A91" s="38" t="s">
        <v>44</v>
      </c>
      <c r="B91" s="68"/>
      <c r="C91" s="23" t="s">
        <v>45</v>
      </c>
      <c r="D91" s="85"/>
      <c r="E91" s="23"/>
      <c r="F91" s="23"/>
      <c r="G91" s="44"/>
      <c r="H91" s="44"/>
      <c r="I91" s="24" t="e">
        <f>J91+#REF!+#REF!+#REF!</f>
        <v>#REF!</v>
      </c>
      <c r="J91" s="24"/>
      <c r="K91" s="25"/>
      <c r="L91" s="34"/>
      <c r="M91" s="34"/>
      <c r="N91" s="57"/>
      <c r="O91" s="57"/>
      <c r="P91" s="24" t="e">
        <f t="shared" si="33"/>
        <v>#DIV/0!</v>
      </c>
      <c r="Q91" s="34" t="e">
        <f t="shared" si="30"/>
        <v>#DIV/0!</v>
      </c>
      <c r="R91" s="31" t="e">
        <f t="shared" si="31"/>
        <v>#DIV/0!</v>
      </c>
      <c r="S91" s="25" t="e">
        <f t="shared" si="27"/>
        <v>#DIV/0!</v>
      </c>
    </row>
    <row r="92" spans="1:19" ht="12.75">
      <c r="A92" s="32" t="s">
        <v>1</v>
      </c>
      <c r="B92" s="32"/>
      <c r="C92" s="39" t="s">
        <v>0</v>
      </c>
      <c r="D92" s="40">
        <f aca="true" t="shared" si="35" ref="D92:K92">D93+D94</f>
        <v>51108</v>
      </c>
      <c r="E92" s="40">
        <f t="shared" si="35"/>
        <v>66120.9</v>
      </c>
      <c r="F92" s="78">
        <f t="shared" si="35"/>
        <v>40745.1</v>
      </c>
      <c r="G92" s="40">
        <f t="shared" si="35"/>
        <v>25884.2</v>
      </c>
      <c r="H92" s="40">
        <f t="shared" si="35"/>
        <v>14860.9</v>
      </c>
      <c r="I92" s="40">
        <f t="shared" si="35"/>
        <v>14417</v>
      </c>
      <c r="J92" s="40">
        <f t="shared" si="35"/>
        <v>10958.8</v>
      </c>
      <c r="K92" s="40">
        <f t="shared" si="35"/>
        <v>20381</v>
      </c>
      <c r="L92" s="34" t="e">
        <f>K92/#REF!*100</f>
        <v>#REF!</v>
      </c>
      <c r="M92" s="34">
        <f>K92/I92*100</f>
        <v>141.36782964555732</v>
      </c>
      <c r="N92" s="57"/>
      <c r="O92" s="57"/>
      <c r="P92" s="43">
        <f t="shared" si="33"/>
        <v>185.97839179472206</v>
      </c>
      <c r="Q92" s="34">
        <f t="shared" si="30"/>
        <v>50.020738690051076</v>
      </c>
      <c r="R92" s="31">
        <f t="shared" si="31"/>
        <v>30.823839360928243</v>
      </c>
      <c r="S92" s="31">
        <f t="shared" si="27"/>
        <v>39.87829693981373</v>
      </c>
    </row>
    <row r="93" spans="1:19" ht="24">
      <c r="A93" s="21" t="s">
        <v>67</v>
      </c>
      <c r="B93" s="19"/>
      <c r="C93" s="41" t="s">
        <v>20</v>
      </c>
      <c r="D93" s="44">
        <v>51108</v>
      </c>
      <c r="E93" s="60">
        <f>G93+H93+I93+J93</f>
        <v>66060.9</v>
      </c>
      <c r="F93" s="66">
        <f>G93+H93</f>
        <v>40685.1</v>
      </c>
      <c r="G93" s="44">
        <v>25824.2</v>
      </c>
      <c r="H93" s="44">
        <f>15812-951.1</f>
        <v>14860.9</v>
      </c>
      <c r="I93" s="24">
        <v>14417</v>
      </c>
      <c r="J93" s="24">
        <v>10958.8</v>
      </c>
      <c r="K93" s="25">
        <v>20321</v>
      </c>
      <c r="L93" s="27" t="e">
        <f>K93/#REF!*100</f>
        <v>#REF!</v>
      </c>
      <c r="M93" s="27">
        <f>K93/I93*100</f>
        <v>140.95165429701046</v>
      </c>
      <c r="N93" s="57"/>
      <c r="O93" s="57"/>
      <c r="P93" s="24">
        <f t="shared" si="33"/>
        <v>185.43088659342266</v>
      </c>
      <c r="Q93" s="27">
        <f t="shared" si="30"/>
        <v>49.94703220589356</v>
      </c>
      <c r="R93" s="25">
        <f t="shared" si="31"/>
        <v>30.761009916607254</v>
      </c>
      <c r="S93" s="25">
        <f t="shared" si="27"/>
        <v>39.76089848947327</v>
      </c>
    </row>
    <row r="94" spans="1:19" ht="15.75" customHeight="1">
      <c r="A94" s="21" t="s">
        <v>2</v>
      </c>
      <c r="B94" s="21"/>
      <c r="C94" s="42" t="s">
        <v>19</v>
      </c>
      <c r="D94" s="69"/>
      <c r="E94" s="60">
        <f>G94+H94+I94+J94</f>
        <v>60</v>
      </c>
      <c r="F94" s="66">
        <f>G94+H94</f>
        <v>60</v>
      </c>
      <c r="G94" s="79">
        <v>60</v>
      </c>
      <c r="H94" s="79"/>
      <c r="I94" s="24"/>
      <c r="J94" s="24"/>
      <c r="K94" s="25">
        <v>60</v>
      </c>
      <c r="L94" s="27" t="e">
        <f>K94/#REF!*100</f>
        <v>#REF!</v>
      </c>
      <c r="M94" s="27"/>
      <c r="N94" s="57"/>
      <c r="O94" s="57"/>
      <c r="P94" s="24" t="e">
        <f t="shared" si="33"/>
        <v>#DIV/0!</v>
      </c>
      <c r="Q94" s="27">
        <f>K94*100/F94</f>
        <v>100</v>
      </c>
      <c r="R94" s="25">
        <f>K94*100/E94</f>
        <v>100</v>
      </c>
      <c r="S94" s="25"/>
    </row>
    <row r="95" spans="1:19" ht="12.75">
      <c r="A95" s="28"/>
      <c r="B95" s="29"/>
      <c r="C95" s="30" t="s">
        <v>4</v>
      </c>
      <c r="D95" s="31">
        <f aca="true" t="shared" si="36" ref="D95:K95">D92+D80</f>
        <v>84978.6</v>
      </c>
      <c r="E95" s="31">
        <f t="shared" si="36"/>
        <v>99991.5</v>
      </c>
      <c r="F95" s="31">
        <f t="shared" si="36"/>
        <v>55517.6</v>
      </c>
      <c r="G95" s="31">
        <f t="shared" si="36"/>
        <v>32644.1</v>
      </c>
      <c r="H95" s="31">
        <f t="shared" si="36"/>
        <v>22873.5</v>
      </c>
      <c r="I95" s="31">
        <f t="shared" si="36"/>
        <v>22894.2</v>
      </c>
      <c r="J95" s="31">
        <f t="shared" si="36"/>
        <v>21579.699999999997</v>
      </c>
      <c r="K95" s="31">
        <f t="shared" si="36"/>
        <v>36644</v>
      </c>
      <c r="L95" s="34" t="e">
        <f>K95/#REF!*100</f>
        <v>#REF!</v>
      </c>
      <c r="M95" s="34">
        <f>K95/I95*100</f>
        <v>160.05800595784086</v>
      </c>
      <c r="N95" s="57"/>
      <c r="O95" s="58" t="e">
        <f>J95+#REF!+#REF!</f>
        <v>#REF!</v>
      </c>
      <c r="P95" s="43">
        <f t="shared" si="33"/>
        <v>169.80773597408677</v>
      </c>
      <c r="Q95" s="34">
        <f t="shared" si="30"/>
        <v>66.00429413375218</v>
      </c>
      <c r="R95" s="31">
        <f t="shared" si="31"/>
        <v>36.64711500477541</v>
      </c>
      <c r="S95" s="31">
        <f t="shared" si="27"/>
        <v>43.12144469313451</v>
      </c>
    </row>
    <row r="96" spans="1:19" ht="12.75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8"/>
      <c r="N96" s="57"/>
      <c r="O96" s="57"/>
      <c r="P96" s="56"/>
      <c r="Q96" s="34"/>
      <c r="R96" s="31"/>
      <c r="S96" s="25"/>
    </row>
    <row r="97" spans="1:19" ht="12.75">
      <c r="A97" s="87" t="s">
        <v>29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9"/>
    </row>
    <row r="98" spans="1:19" ht="12.75">
      <c r="A98" s="32" t="s">
        <v>3</v>
      </c>
      <c r="B98" s="32"/>
      <c r="C98" s="33" t="s">
        <v>68</v>
      </c>
      <c r="D98" s="34">
        <f aca="true" t="shared" si="37" ref="D98:K98">D99+D102+D106+D103+D104+D107+D105+D101+D100</f>
        <v>2219.9</v>
      </c>
      <c r="E98" s="34">
        <f t="shared" si="37"/>
        <v>2219.9</v>
      </c>
      <c r="F98" s="34">
        <f t="shared" si="37"/>
        <v>1108.6</v>
      </c>
      <c r="G98" s="34">
        <f t="shared" si="37"/>
        <v>555.1</v>
      </c>
      <c r="H98" s="34">
        <f t="shared" si="37"/>
        <v>553.5</v>
      </c>
      <c r="I98" s="34">
        <f t="shared" si="37"/>
        <v>554.4000000000001</v>
      </c>
      <c r="J98" s="34">
        <f t="shared" si="37"/>
        <v>556.9000000000001</v>
      </c>
      <c r="K98" s="34">
        <f t="shared" si="37"/>
        <v>1074.4</v>
      </c>
      <c r="L98" s="34" t="e">
        <f>K98/#REF!*100</f>
        <v>#REF!</v>
      </c>
      <c r="M98" s="34">
        <f>K98/I98*100</f>
        <v>193.79509379509378</v>
      </c>
      <c r="N98" s="57"/>
      <c r="O98" s="57"/>
      <c r="P98" s="34">
        <f t="shared" si="33"/>
        <v>192.92512120667982</v>
      </c>
      <c r="Q98" s="34">
        <f t="shared" si="30"/>
        <v>96.91502796319685</v>
      </c>
      <c r="R98" s="31">
        <f t="shared" si="31"/>
        <v>48.39857651245552</v>
      </c>
      <c r="S98" s="31">
        <f t="shared" si="27"/>
        <v>48.39857651245552</v>
      </c>
    </row>
    <row r="99" spans="1:19" ht="12.75">
      <c r="A99" s="28" t="s">
        <v>23</v>
      </c>
      <c r="B99" s="28"/>
      <c r="C99" s="35" t="s">
        <v>22</v>
      </c>
      <c r="D99" s="60">
        <v>980</v>
      </c>
      <c r="E99" s="60">
        <f>G99+H99+I99+J99</f>
        <v>980</v>
      </c>
      <c r="F99" s="66">
        <f aca="true" t="shared" si="38" ref="F99:F109">G99+H99</f>
        <v>490</v>
      </c>
      <c r="G99" s="44">
        <v>245</v>
      </c>
      <c r="H99" s="44">
        <v>245</v>
      </c>
      <c r="I99" s="24">
        <v>245</v>
      </c>
      <c r="J99" s="25">
        <v>245</v>
      </c>
      <c r="K99" s="25">
        <v>491.7</v>
      </c>
      <c r="L99" s="27"/>
      <c r="M99" s="27">
        <f>K99/I99*100</f>
        <v>200.6938775510204</v>
      </c>
      <c r="N99" s="58"/>
      <c r="O99" s="57"/>
      <c r="P99" s="24">
        <f t="shared" si="33"/>
        <v>200.69387755102042</v>
      </c>
      <c r="Q99" s="27">
        <f t="shared" si="30"/>
        <v>100.34693877551021</v>
      </c>
      <c r="R99" s="25">
        <f t="shared" si="31"/>
        <v>50.173469387755105</v>
      </c>
      <c r="S99" s="25">
        <f t="shared" si="27"/>
        <v>50.173469387755105</v>
      </c>
    </row>
    <row r="100" spans="1:19" ht="12.75">
      <c r="A100" s="19" t="s">
        <v>70</v>
      </c>
      <c r="B100" s="19"/>
      <c r="C100" s="35" t="s">
        <v>71</v>
      </c>
      <c r="D100" s="60">
        <v>1110.4</v>
      </c>
      <c r="E100" s="60">
        <f>G100+H100+I100+J100</f>
        <v>1110.4</v>
      </c>
      <c r="F100" s="66">
        <f t="shared" si="38"/>
        <v>555.2</v>
      </c>
      <c r="G100" s="44">
        <v>277.6</v>
      </c>
      <c r="H100" s="44">
        <v>277.6</v>
      </c>
      <c r="I100" s="24">
        <v>277.6</v>
      </c>
      <c r="J100" s="25">
        <v>277.6</v>
      </c>
      <c r="K100" s="25">
        <v>490.3</v>
      </c>
      <c r="L100" s="27"/>
      <c r="M100" s="27"/>
      <c r="N100" s="58"/>
      <c r="O100" s="57"/>
      <c r="P100" s="24"/>
      <c r="Q100" s="27">
        <f>K100*100/F100</f>
        <v>88.31051873198847</v>
      </c>
      <c r="R100" s="25">
        <f>K100*100/E100</f>
        <v>44.15525936599423</v>
      </c>
      <c r="S100" s="25">
        <f t="shared" si="27"/>
        <v>44.15525936599423</v>
      </c>
    </row>
    <row r="101" spans="1:19" ht="12.75" hidden="1">
      <c r="A101" s="19" t="s">
        <v>8</v>
      </c>
      <c r="B101" s="19"/>
      <c r="C101" s="35" t="s">
        <v>5</v>
      </c>
      <c r="D101" s="60"/>
      <c r="E101" s="60">
        <f>G101+H101+I101+J101</f>
        <v>0</v>
      </c>
      <c r="F101" s="66">
        <f t="shared" si="38"/>
        <v>0</v>
      </c>
      <c r="G101" s="44"/>
      <c r="H101" s="44"/>
      <c r="I101" s="24"/>
      <c r="J101" s="25"/>
      <c r="K101" s="25"/>
      <c r="L101" s="27"/>
      <c r="M101" s="27"/>
      <c r="N101" s="58"/>
      <c r="O101" s="57"/>
      <c r="P101" s="24"/>
      <c r="Q101" s="27" t="e">
        <f>K101*100/F101</f>
        <v>#DIV/0!</v>
      </c>
      <c r="R101" s="25" t="e">
        <f>K101*100/E101</f>
        <v>#DIV/0!</v>
      </c>
      <c r="S101" s="25" t="e">
        <f t="shared" si="27"/>
        <v>#DIV/0!</v>
      </c>
    </row>
    <row r="102" spans="1:19" ht="12.75">
      <c r="A102" s="19" t="s">
        <v>9</v>
      </c>
      <c r="B102" s="19"/>
      <c r="C102" s="35" t="s">
        <v>6</v>
      </c>
      <c r="D102" s="60">
        <v>70.5</v>
      </c>
      <c r="E102" s="60">
        <f aca="true" t="shared" si="39" ref="E102:E110">G102+H102+I102+J102</f>
        <v>70.5</v>
      </c>
      <c r="F102" s="66">
        <f t="shared" si="38"/>
        <v>35.3</v>
      </c>
      <c r="G102" s="44">
        <v>18.6</v>
      </c>
      <c r="H102" s="44">
        <v>16.7</v>
      </c>
      <c r="I102" s="24">
        <v>18.6</v>
      </c>
      <c r="J102" s="25">
        <v>16.6</v>
      </c>
      <c r="K102" s="25">
        <v>20</v>
      </c>
      <c r="L102" s="27"/>
      <c r="M102" s="27">
        <f aca="true" t="shared" si="40" ref="M102:M109">K102/I102*100</f>
        <v>107.5268817204301</v>
      </c>
      <c r="N102" s="58"/>
      <c r="O102" s="57"/>
      <c r="P102" s="24">
        <f t="shared" si="33"/>
        <v>120.48192771084337</v>
      </c>
      <c r="Q102" s="27">
        <f t="shared" si="30"/>
        <v>56.657223796033996</v>
      </c>
      <c r="R102" s="25">
        <f t="shared" si="31"/>
        <v>28.368794326241133</v>
      </c>
      <c r="S102" s="25">
        <f t="shared" si="27"/>
        <v>28.368794326241133</v>
      </c>
    </row>
    <row r="103" spans="1:19" ht="12.75">
      <c r="A103" s="19" t="s">
        <v>10</v>
      </c>
      <c r="B103" s="19"/>
      <c r="C103" s="35" t="s">
        <v>21</v>
      </c>
      <c r="D103" s="60">
        <v>5</v>
      </c>
      <c r="E103" s="60">
        <f t="shared" si="39"/>
        <v>5</v>
      </c>
      <c r="F103" s="66">
        <f t="shared" si="38"/>
        <v>3</v>
      </c>
      <c r="G103" s="44">
        <v>1.5</v>
      </c>
      <c r="H103" s="44">
        <v>1.5</v>
      </c>
      <c r="I103" s="24">
        <v>0.5</v>
      </c>
      <c r="J103" s="25">
        <v>1.5</v>
      </c>
      <c r="K103" s="25">
        <v>0.8</v>
      </c>
      <c r="L103" s="27"/>
      <c r="M103" s="27">
        <f t="shared" si="40"/>
        <v>160</v>
      </c>
      <c r="N103" s="57"/>
      <c r="O103" s="57"/>
      <c r="P103" s="24">
        <f t="shared" si="33"/>
        <v>53.333333333333336</v>
      </c>
      <c r="Q103" s="27">
        <f t="shared" si="30"/>
        <v>26.666666666666668</v>
      </c>
      <c r="R103" s="25">
        <f t="shared" si="31"/>
        <v>16</v>
      </c>
      <c r="S103" s="25">
        <f t="shared" si="27"/>
        <v>16</v>
      </c>
    </row>
    <row r="104" spans="1:19" ht="24">
      <c r="A104" s="20" t="s">
        <v>11</v>
      </c>
      <c r="B104" s="20"/>
      <c r="C104" s="35" t="s">
        <v>17</v>
      </c>
      <c r="D104" s="60">
        <v>19</v>
      </c>
      <c r="E104" s="60">
        <f t="shared" si="39"/>
        <v>19</v>
      </c>
      <c r="F104" s="66">
        <f t="shared" si="38"/>
        <v>7.6</v>
      </c>
      <c r="G104" s="44">
        <v>1.9</v>
      </c>
      <c r="H104" s="44">
        <v>5.7</v>
      </c>
      <c r="I104" s="24">
        <v>5.7</v>
      </c>
      <c r="J104" s="25">
        <v>5.7</v>
      </c>
      <c r="K104" s="25">
        <v>7.6</v>
      </c>
      <c r="L104" s="27"/>
      <c r="M104" s="27">
        <f t="shared" si="40"/>
        <v>133.33333333333331</v>
      </c>
      <c r="N104" s="57"/>
      <c r="O104" s="57"/>
      <c r="P104" s="24">
        <f t="shared" si="33"/>
        <v>133.33333333333334</v>
      </c>
      <c r="Q104" s="27">
        <f t="shared" si="30"/>
        <v>100</v>
      </c>
      <c r="R104" s="25">
        <f t="shared" si="31"/>
        <v>40</v>
      </c>
      <c r="S104" s="25">
        <f t="shared" si="27"/>
        <v>40</v>
      </c>
    </row>
    <row r="105" spans="1:19" ht="12.75">
      <c r="A105" s="37" t="s">
        <v>42</v>
      </c>
      <c r="B105" s="37"/>
      <c r="C105" s="35" t="s">
        <v>43</v>
      </c>
      <c r="D105" s="60">
        <v>35</v>
      </c>
      <c r="E105" s="60">
        <f t="shared" si="39"/>
        <v>35</v>
      </c>
      <c r="F105" s="66">
        <f t="shared" si="38"/>
        <v>17.5</v>
      </c>
      <c r="G105" s="44">
        <v>10.5</v>
      </c>
      <c r="H105" s="44">
        <v>7</v>
      </c>
      <c r="I105" s="24">
        <v>7</v>
      </c>
      <c r="J105" s="25">
        <v>10.5</v>
      </c>
      <c r="K105" s="25">
        <v>14</v>
      </c>
      <c r="L105" s="27"/>
      <c r="M105" s="27">
        <f t="shared" si="40"/>
        <v>200</v>
      </c>
      <c r="N105" s="57"/>
      <c r="O105" s="57"/>
      <c r="P105" s="24">
        <f t="shared" si="33"/>
        <v>133.33333333333334</v>
      </c>
      <c r="Q105" s="27">
        <f t="shared" si="30"/>
        <v>80</v>
      </c>
      <c r="R105" s="25">
        <f t="shared" si="31"/>
        <v>40</v>
      </c>
      <c r="S105" s="25">
        <f t="shared" si="27"/>
        <v>40</v>
      </c>
    </row>
    <row r="106" spans="1:19" ht="18.75" customHeight="1">
      <c r="A106" s="28" t="s">
        <v>12</v>
      </c>
      <c r="B106" s="28"/>
      <c r="C106" s="86" t="s">
        <v>7</v>
      </c>
      <c r="D106" s="60"/>
      <c r="E106" s="60">
        <f t="shared" si="39"/>
        <v>0</v>
      </c>
      <c r="F106" s="66">
        <f t="shared" si="38"/>
        <v>0</v>
      </c>
      <c r="G106" s="44"/>
      <c r="H106" s="44"/>
      <c r="I106" s="24"/>
      <c r="J106" s="25"/>
      <c r="K106" s="25">
        <v>50</v>
      </c>
      <c r="L106" s="27"/>
      <c r="M106" s="27" t="e">
        <f t="shared" si="40"/>
        <v>#DIV/0!</v>
      </c>
      <c r="N106" s="57"/>
      <c r="O106" s="57"/>
      <c r="P106" s="24" t="e">
        <f t="shared" si="33"/>
        <v>#DIV/0!</v>
      </c>
      <c r="Q106" s="27"/>
      <c r="R106" s="25"/>
      <c r="S106" s="25"/>
    </row>
    <row r="107" spans="1:19" ht="16.5" customHeight="1">
      <c r="A107" s="37" t="s">
        <v>39</v>
      </c>
      <c r="B107" s="80"/>
      <c r="C107" s="23" t="s">
        <v>40</v>
      </c>
      <c r="D107" s="60"/>
      <c r="E107" s="60">
        <f t="shared" si="39"/>
        <v>0</v>
      </c>
      <c r="F107" s="66">
        <f t="shared" si="38"/>
        <v>0</v>
      </c>
      <c r="G107" s="44"/>
      <c r="H107" s="44"/>
      <c r="I107" s="24"/>
      <c r="J107" s="25"/>
      <c r="K107" s="25"/>
      <c r="L107" s="34"/>
      <c r="M107" s="27" t="e">
        <f t="shared" si="40"/>
        <v>#DIV/0!</v>
      </c>
      <c r="N107" s="57"/>
      <c r="O107" s="57"/>
      <c r="P107" s="24" t="e">
        <f t="shared" si="33"/>
        <v>#DIV/0!</v>
      </c>
      <c r="Q107" s="34"/>
      <c r="R107" s="31"/>
      <c r="S107" s="25"/>
    </row>
    <row r="108" spans="1:19" ht="12.75">
      <c r="A108" s="62" t="s">
        <v>1</v>
      </c>
      <c r="B108" s="62"/>
      <c r="C108" s="39" t="s">
        <v>0</v>
      </c>
      <c r="D108" s="40">
        <f aca="true" t="shared" si="41" ref="D108:L108">D109+D110</f>
        <v>19477.9</v>
      </c>
      <c r="E108" s="40">
        <f t="shared" si="41"/>
        <v>21721.5</v>
      </c>
      <c r="F108" s="40">
        <f t="shared" si="41"/>
        <v>12158.900000000001</v>
      </c>
      <c r="G108" s="40">
        <f t="shared" si="41"/>
        <v>7217.5</v>
      </c>
      <c r="H108" s="40">
        <f t="shared" si="41"/>
        <v>4941.400000000001</v>
      </c>
      <c r="I108" s="40">
        <f t="shared" si="41"/>
        <v>4781.3</v>
      </c>
      <c r="J108" s="40">
        <f t="shared" si="41"/>
        <v>4781.3</v>
      </c>
      <c r="K108" s="40">
        <f t="shared" si="41"/>
        <v>11524.3</v>
      </c>
      <c r="L108" s="40">
        <f t="shared" si="41"/>
        <v>0</v>
      </c>
      <c r="M108" s="34">
        <f>K108/I108*100</f>
        <v>241.02859055068703</v>
      </c>
      <c r="N108" s="57"/>
      <c r="O108" s="57"/>
      <c r="P108" s="43">
        <f t="shared" si="33"/>
        <v>241.02859055068706</v>
      </c>
      <c r="Q108" s="34">
        <f t="shared" si="30"/>
        <v>94.78077786641883</v>
      </c>
      <c r="R108" s="31">
        <f t="shared" si="31"/>
        <v>53.05480744884101</v>
      </c>
      <c r="S108" s="31">
        <f t="shared" si="27"/>
        <v>59.16602919205869</v>
      </c>
    </row>
    <row r="109" spans="1:19" ht="24">
      <c r="A109" s="21" t="s">
        <v>67</v>
      </c>
      <c r="B109" s="19"/>
      <c r="C109" s="41" t="s">
        <v>20</v>
      </c>
      <c r="D109" s="44">
        <v>19477.9</v>
      </c>
      <c r="E109" s="60">
        <f t="shared" si="39"/>
        <v>21721.5</v>
      </c>
      <c r="F109" s="66">
        <f t="shared" si="38"/>
        <v>12158.900000000001</v>
      </c>
      <c r="G109" s="44">
        <f>7108.9+108.6</f>
        <v>7217.5</v>
      </c>
      <c r="H109" s="44">
        <f>4896.6+44.8</f>
        <v>4941.400000000001</v>
      </c>
      <c r="I109" s="24">
        <v>4781.3</v>
      </c>
      <c r="J109" s="25">
        <v>4781.3</v>
      </c>
      <c r="K109" s="25">
        <v>11524.3</v>
      </c>
      <c r="L109" s="27"/>
      <c r="M109" s="27">
        <f t="shared" si="40"/>
        <v>241.02859055068703</v>
      </c>
      <c r="N109" s="57"/>
      <c r="O109" s="57"/>
      <c r="P109" s="24">
        <f t="shared" si="33"/>
        <v>241.02859055068706</v>
      </c>
      <c r="Q109" s="27">
        <f t="shared" si="30"/>
        <v>94.78077786641883</v>
      </c>
      <c r="R109" s="25">
        <f t="shared" si="31"/>
        <v>53.05480744884101</v>
      </c>
      <c r="S109" s="25">
        <f t="shared" si="27"/>
        <v>59.16602919205869</v>
      </c>
    </row>
    <row r="110" spans="1:19" ht="12.75" hidden="1">
      <c r="A110" s="21" t="s">
        <v>2</v>
      </c>
      <c r="B110" s="21"/>
      <c r="C110" s="42" t="s">
        <v>19</v>
      </c>
      <c r="D110" s="42"/>
      <c r="E110" s="60">
        <f t="shared" si="39"/>
        <v>0</v>
      </c>
      <c r="F110" s="60">
        <f>G110+H110</f>
        <v>0</v>
      </c>
      <c r="G110" s="79"/>
      <c r="H110" s="79"/>
      <c r="I110" s="24"/>
      <c r="J110" s="25"/>
      <c r="K110" s="25"/>
      <c r="L110" s="27"/>
      <c r="M110" s="27"/>
      <c r="N110" s="57"/>
      <c r="O110" s="57"/>
      <c r="P110" s="24" t="e">
        <f t="shared" si="33"/>
        <v>#DIV/0!</v>
      </c>
      <c r="Q110" s="34"/>
      <c r="R110" s="31"/>
      <c r="S110" s="25" t="e">
        <f t="shared" si="27"/>
        <v>#DIV/0!</v>
      </c>
    </row>
    <row r="111" spans="1:19" ht="12.75">
      <c r="A111" s="28"/>
      <c r="B111" s="29"/>
      <c r="C111" s="30" t="s">
        <v>4</v>
      </c>
      <c r="D111" s="31">
        <f aca="true" t="shared" si="42" ref="D111:L111">D108+D98</f>
        <v>21697.800000000003</v>
      </c>
      <c r="E111" s="31">
        <f t="shared" si="42"/>
        <v>23941.4</v>
      </c>
      <c r="F111" s="43">
        <f t="shared" si="42"/>
        <v>13267.500000000002</v>
      </c>
      <c r="G111" s="43">
        <f t="shared" si="42"/>
        <v>7772.6</v>
      </c>
      <c r="H111" s="43">
        <f>H108+H98</f>
        <v>5494.900000000001</v>
      </c>
      <c r="I111" s="31">
        <f t="shared" si="42"/>
        <v>5335.700000000001</v>
      </c>
      <c r="J111" s="31">
        <f t="shared" si="42"/>
        <v>5338.200000000001</v>
      </c>
      <c r="K111" s="31">
        <f t="shared" si="42"/>
        <v>12598.699999999999</v>
      </c>
      <c r="L111" s="31" t="e">
        <f t="shared" si="42"/>
        <v>#REF!</v>
      </c>
      <c r="M111" s="34">
        <f>K111/I111*100</f>
        <v>236.1208463744213</v>
      </c>
      <c r="N111" s="57"/>
      <c r="O111" s="58" t="e">
        <f>J111+#REF!+#REF!</f>
        <v>#REF!</v>
      </c>
      <c r="P111" s="43">
        <f t="shared" si="33"/>
        <v>236.0102656326102</v>
      </c>
      <c r="Q111" s="34">
        <f t="shared" si="30"/>
        <v>94.9591106086301</v>
      </c>
      <c r="R111" s="31">
        <f t="shared" si="31"/>
        <v>52.62307133250353</v>
      </c>
      <c r="S111" s="31">
        <f t="shared" si="27"/>
        <v>58.06441206020886</v>
      </c>
    </row>
    <row r="112" spans="1:19" ht="12.75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8"/>
      <c r="N112" s="57"/>
      <c r="O112" s="57"/>
      <c r="P112" s="56"/>
      <c r="Q112" s="34"/>
      <c r="R112" s="31"/>
      <c r="S112" s="25"/>
    </row>
    <row r="113" spans="1:19" ht="12.75">
      <c r="A113" s="87" t="s">
        <v>30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9"/>
    </row>
    <row r="114" spans="1:19" ht="12.75">
      <c r="A114" s="32" t="s">
        <v>3</v>
      </c>
      <c r="B114" s="32"/>
      <c r="C114" s="33" t="s">
        <v>68</v>
      </c>
      <c r="D114" s="34">
        <f aca="true" t="shared" si="43" ref="D114:J114">D115+D119+D123+D120+D121+D124+D122+D125+D116+D117</f>
        <v>4041</v>
      </c>
      <c r="E114" s="34">
        <f t="shared" si="43"/>
        <v>4041</v>
      </c>
      <c r="F114" s="34">
        <f t="shared" si="43"/>
        <v>2020.2</v>
      </c>
      <c r="G114" s="34">
        <f t="shared" si="43"/>
        <v>952.3</v>
      </c>
      <c r="H114" s="34">
        <f t="shared" si="43"/>
        <v>1067.9</v>
      </c>
      <c r="I114" s="34">
        <f t="shared" si="43"/>
        <v>1039.8000000000002</v>
      </c>
      <c r="J114" s="34">
        <f t="shared" si="43"/>
        <v>981</v>
      </c>
      <c r="K114" s="34">
        <f>K115+K119+K123+K120+K121+K124+K122+K125+K116+K117+K118</f>
        <v>1902</v>
      </c>
      <c r="L114" s="34" t="e">
        <f>K114/#REF!*100</f>
        <v>#REF!</v>
      </c>
      <c r="M114" s="34">
        <f aca="true" t="shared" si="44" ref="M114:M123">K114/I114*100</f>
        <v>182.9197922677438</v>
      </c>
      <c r="N114" s="57"/>
      <c r="O114" s="57"/>
      <c r="P114" s="34">
        <f t="shared" si="33"/>
        <v>193.88379204892968</v>
      </c>
      <c r="Q114" s="34">
        <f t="shared" si="30"/>
        <v>94.14909414909415</v>
      </c>
      <c r="R114" s="31">
        <f t="shared" si="31"/>
        <v>47.067557535263546</v>
      </c>
      <c r="S114" s="31">
        <f t="shared" si="27"/>
        <v>47.067557535263546</v>
      </c>
    </row>
    <row r="115" spans="1:19" ht="12.75">
      <c r="A115" s="28" t="s">
        <v>23</v>
      </c>
      <c r="B115" s="28"/>
      <c r="C115" s="35" t="s">
        <v>22</v>
      </c>
      <c r="D115" s="60">
        <v>1110</v>
      </c>
      <c r="E115" s="60">
        <f>G115+H115+I115+J115</f>
        <v>1110</v>
      </c>
      <c r="F115" s="66">
        <f aca="true" t="shared" si="45" ref="F115:F127">G115+H115</f>
        <v>650</v>
      </c>
      <c r="G115" s="60">
        <v>296.3</v>
      </c>
      <c r="H115" s="60">
        <v>353.7</v>
      </c>
      <c r="I115" s="25">
        <v>225.1</v>
      </c>
      <c r="J115" s="25">
        <v>234.9</v>
      </c>
      <c r="K115" s="25">
        <v>435.9</v>
      </c>
      <c r="L115" s="27" t="e">
        <f>K115/#REF!*100</f>
        <v>#REF!</v>
      </c>
      <c r="M115" s="27">
        <f t="shared" si="44"/>
        <v>193.6472678809418</v>
      </c>
      <c r="N115" s="57"/>
      <c r="O115" s="57"/>
      <c r="P115" s="24">
        <f t="shared" si="33"/>
        <v>185.56832694763727</v>
      </c>
      <c r="Q115" s="27">
        <f t="shared" si="30"/>
        <v>67.06153846153846</v>
      </c>
      <c r="R115" s="25">
        <f t="shared" si="31"/>
        <v>39.270270270270274</v>
      </c>
      <c r="S115" s="25">
        <f t="shared" si="27"/>
        <v>39.270270270270274</v>
      </c>
    </row>
    <row r="116" spans="1:19" ht="12.75" hidden="1">
      <c r="A116" s="19" t="s">
        <v>8</v>
      </c>
      <c r="B116" s="19"/>
      <c r="C116" s="35" t="s">
        <v>5</v>
      </c>
      <c r="D116" s="60"/>
      <c r="E116" s="60">
        <f>G116+H116+I116+J116</f>
        <v>0</v>
      </c>
      <c r="F116" s="66">
        <f t="shared" si="45"/>
        <v>0</v>
      </c>
      <c r="G116" s="60"/>
      <c r="H116" s="60"/>
      <c r="I116" s="25"/>
      <c r="J116" s="25"/>
      <c r="K116" s="25"/>
      <c r="L116" s="27"/>
      <c r="M116" s="27"/>
      <c r="N116" s="57"/>
      <c r="O116" s="57"/>
      <c r="P116" s="24"/>
      <c r="Q116" s="27" t="e">
        <f>K116*100/F116</f>
        <v>#DIV/0!</v>
      </c>
      <c r="R116" s="25" t="e">
        <f>K116*100/E116</f>
        <v>#DIV/0!</v>
      </c>
      <c r="S116" s="25" t="e">
        <f t="shared" si="27"/>
        <v>#DIV/0!</v>
      </c>
    </row>
    <row r="117" spans="1:19" ht="13.5" customHeight="1">
      <c r="A117" s="19" t="s">
        <v>70</v>
      </c>
      <c r="B117" s="19"/>
      <c r="C117" s="35" t="s">
        <v>71</v>
      </c>
      <c r="D117" s="60">
        <v>2422</v>
      </c>
      <c r="E117" s="60">
        <f>G117+H117+I117+J117</f>
        <v>2422</v>
      </c>
      <c r="F117" s="66">
        <f t="shared" si="45"/>
        <v>1083.2</v>
      </c>
      <c r="G117" s="60">
        <v>463</v>
      </c>
      <c r="H117" s="60">
        <v>620.2</v>
      </c>
      <c r="I117" s="25">
        <v>737.7</v>
      </c>
      <c r="J117" s="25">
        <v>601.1</v>
      </c>
      <c r="K117" s="25">
        <v>1069.4</v>
      </c>
      <c r="L117" s="27"/>
      <c r="M117" s="27"/>
      <c r="N117" s="57"/>
      <c r="O117" s="57"/>
      <c r="P117" s="24"/>
      <c r="Q117" s="27">
        <f>K117*100/F117</f>
        <v>98.72599704579027</v>
      </c>
      <c r="R117" s="25">
        <f>K117*100/E117</f>
        <v>44.15359207266722</v>
      </c>
      <c r="S117" s="25">
        <f t="shared" si="27"/>
        <v>44.15359207266722</v>
      </c>
    </row>
    <row r="118" spans="1:19" ht="13.5" customHeight="1">
      <c r="A118" s="19" t="s">
        <v>8</v>
      </c>
      <c r="B118" s="19"/>
      <c r="C118" s="35" t="s">
        <v>5</v>
      </c>
      <c r="D118" s="60"/>
      <c r="E118" s="60"/>
      <c r="F118" s="66">
        <f t="shared" si="45"/>
        <v>0</v>
      </c>
      <c r="G118" s="60"/>
      <c r="H118" s="60"/>
      <c r="I118" s="25"/>
      <c r="J118" s="25"/>
      <c r="K118" s="25">
        <v>5.6</v>
      </c>
      <c r="L118" s="27"/>
      <c r="M118" s="27"/>
      <c r="N118" s="57"/>
      <c r="O118" s="57"/>
      <c r="P118" s="24"/>
      <c r="Q118" s="27"/>
      <c r="R118" s="25"/>
      <c r="S118" s="25"/>
    </row>
    <row r="119" spans="1:19" ht="12.75">
      <c r="A119" s="19" t="s">
        <v>9</v>
      </c>
      <c r="B119" s="19"/>
      <c r="C119" s="35" t="s">
        <v>6</v>
      </c>
      <c r="D119" s="60">
        <v>99</v>
      </c>
      <c r="E119" s="60">
        <f aca="true" t="shared" si="46" ref="E119:E127">G119+H119+I119+J119</f>
        <v>99</v>
      </c>
      <c r="F119" s="66">
        <f t="shared" si="45"/>
        <v>26</v>
      </c>
      <c r="G119" s="60">
        <v>11</v>
      </c>
      <c r="H119" s="60">
        <v>15</v>
      </c>
      <c r="I119" s="25">
        <v>7</v>
      </c>
      <c r="J119" s="25">
        <v>66</v>
      </c>
      <c r="K119" s="25">
        <v>44.7</v>
      </c>
      <c r="L119" s="27" t="e">
        <f>K119/#REF!*100</f>
        <v>#REF!</v>
      </c>
      <c r="M119" s="27">
        <f t="shared" si="44"/>
        <v>638.5714285714287</v>
      </c>
      <c r="N119" s="57"/>
      <c r="O119" s="57"/>
      <c r="P119" s="24">
        <f t="shared" si="33"/>
        <v>67.72727272727273</v>
      </c>
      <c r="Q119" s="27">
        <f t="shared" si="30"/>
        <v>171.92307692307693</v>
      </c>
      <c r="R119" s="25">
        <f t="shared" si="31"/>
        <v>45.15151515151515</v>
      </c>
      <c r="S119" s="25">
        <f t="shared" si="27"/>
        <v>45.15151515151515</v>
      </c>
    </row>
    <row r="120" spans="1:19" ht="12.75">
      <c r="A120" s="19" t="s">
        <v>10</v>
      </c>
      <c r="B120" s="19"/>
      <c r="C120" s="35" t="s">
        <v>21</v>
      </c>
      <c r="D120" s="60">
        <v>17</v>
      </c>
      <c r="E120" s="60">
        <f t="shared" si="46"/>
        <v>17</v>
      </c>
      <c r="F120" s="66">
        <f t="shared" si="45"/>
        <v>9</v>
      </c>
      <c r="G120" s="60">
        <v>6</v>
      </c>
      <c r="H120" s="60">
        <v>3</v>
      </c>
      <c r="I120" s="25">
        <v>3</v>
      </c>
      <c r="J120" s="25">
        <v>5</v>
      </c>
      <c r="K120" s="25">
        <v>4.8</v>
      </c>
      <c r="L120" s="27" t="e">
        <f>K120/#REF!*100</f>
        <v>#REF!</v>
      </c>
      <c r="M120" s="27">
        <f t="shared" si="44"/>
        <v>160</v>
      </c>
      <c r="N120" s="57"/>
      <c r="O120" s="57"/>
      <c r="P120" s="24">
        <f t="shared" si="33"/>
        <v>96</v>
      </c>
      <c r="Q120" s="27">
        <f t="shared" si="30"/>
        <v>53.333333333333336</v>
      </c>
      <c r="R120" s="25">
        <f t="shared" si="31"/>
        <v>28.235294117647058</v>
      </c>
      <c r="S120" s="25">
        <f t="shared" si="27"/>
        <v>28.235294117647058</v>
      </c>
    </row>
    <row r="121" spans="1:19" ht="24">
      <c r="A121" s="20" t="s">
        <v>11</v>
      </c>
      <c r="B121" s="20"/>
      <c r="C121" s="35" t="s">
        <v>17</v>
      </c>
      <c r="D121" s="60">
        <v>283</v>
      </c>
      <c r="E121" s="60">
        <f t="shared" si="46"/>
        <v>283</v>
      </c>
      <c r="F121" s="66">
        <f t="shared" si="45"/>
        <v>185</v>
      </c>
      <c r="G121" s="60">
        <v>137</v>
      </c>
      <c r="H121" s="60">
        <v>48</v>
      </c>
      <c r="I121" s="25">
        <v>48</v>
      </c>
      <c r="J121" s="25">
        <v>50</v>
      </c>
      <c r="K121" s="25">
        <v>287</v>
      </c>
      <c r="L121" s="27" t="e">
        <f>K121/#REF!*100</f>
        <v>#REF!</v>
      </c>
      <c r="M121" s="27">
        <f t="shared" si="44"/>
        <v>597.9166666666667</v>
      </c>
      <c r="N121" s="57"/>
      <c r="O121" s="57"/>
      <c r="P121" s="24">
        <f t="shared" si="33"/>
        <v>574</v>
      </c>
      <c r="Q121" s="27">
        <f t="shared" si="30"/>
        <v>155.13513513513513</v>
      </c>
      <c r="R121" s="25">
        <f t="shared" si="31"/>
        <v>101.41342756183745</v>
      </c>
      <c r="S121" s="25">
        <f t="shared" si="27"/>
        <v>101.41342756183745</v>
      </c>
    </row>
    <row r="122" spans="1:19" ht="12.75">
      <c r="A122" s="37" t="s">
        <v>42</v>
      </c>
      <c r="B122" s="37"/>
      <c r="C122" s="35" t="s">
        <v>43</v>
      </c>
      <c r="D122" s="60">
        <v>110</v>
      </c>
      <c r="E122" s="60">
        <f t="shared" si="46"/>
        <v>110</v>
      </c>
      <c r="F122" s="66">
        <f t="shared" si="45"/>
        <v>67</v>
      </c>
      <c r="G122" s="60">
        <v>39</v>
      </c>
      <c r="H122" s="60">
        <v>28</v>
      </c>
      <c r="I122" s="25">
        <v>19</v>
      </c>
      <c r="J122" s="25">
        <v>24</v>
      </c>
      <c r="K122" s="25">
        <v>54.6</v>
      </c>
      <c r="L122" s="27" t="e">
        <f>K122/#REF!*100</f>
        <v>#REF!</v>
      </c>
      <c r="M122" s="27">
        <f t="shared" si="44"/>
        <v>287.36842105263156</v>
      </c>
      <c r="N122" s="57"/>
      <c r="O122" s="57"/>
      <c r="P122" s="24">
        <f t="shared" si="33"/>
        <v>227.5</v>
      </c>
      <c r="Q122" s="27">
        <f t="shared" si="30"/>
        <v>81.49253731343283</v>
      </c>
      <c r="R122" s="25">
        <f t="shared" si="31"/>
        <v>49.63636363636363</v>
      </c>
      <c r="S122" s="25">
        <f t="shared" si="27"/>
        <v>49.63636363636363</v>
      </c>
    </row>
    <row r="123" spans="1:19" ht="12.75" hidden="1">
      <c r="A123" s="36" t="s">
        <v>18</v>
      </c>
      <c r="B123" s="36"/>
      <c r="C123" s="35" t="s">
        <v>15</v>
      </c>
      <c r="D123" s="60"/>
      <c r="E123" s="60">
        <f t="shared" si="46"/>
        <v>0</v>
      </c>
      <c r="F123" s="66">
        <f t="shared" si="45"/>
        <v>0</v>
      </c>
      <c r="G123" s="60"/>
      <c r="H123" s="60"/>
      <c r="I123" s="25"/>
      <c r="J123" s="25"/>
      <c r="K123" s="25"/>
      <c r="L123" s="27" t="e">
        <f>K123/#REF!*100</f>
        <v>#REF!</v>
      </c>
      <c r="M123" s="27" t="e">
        <f t="shared" si="44"/>
        <v>#DIV/0!</v>
      </c>
      <c r="N123" s="57"/>
      <c r="O123" s="57"/>
      <c r="P123" s="24" t="e">
        <f t="shared" si="33"/>
        <v>#DIV/0!</v>
      </c>
      <c r="Q123" s="27"/>
      <c r="R123" s="25"/>
      <c r="S123" s="25" t="e">
        <f t="shared" si="27"/>
        <v>#DIV/0!</v>
      </c>
    </row>
    <row r="124" spans="1:19" ht="12.75" hidden="1">
      <c r="A124" s="28" t="s">
        <v>12</v>
      </c>
      <c r="B124" s="28"/>
      <c r="C124" s="35" t="s">
        <v>7</v>
      </c>
      <c r="D124" s="60"/>
      <c r="E124" s="60">
        <f t="shared" si="46"/>
        <v>0</v>
      </c>
      <c r="F124" s="66">
        <f t="shared" si="45"/>
        <v>0</v>
      </c>
      <c r="G124" s="60"/>
      <c r="H124" s="60"/>
      <c r="I124" s="25"/>
      <c r="J124" s="25"/>
      <c r="K124" s="25"/>
      <c r="L124" s="27"/>
      <c r="M124" s="27"/>
      <c r="N124" s="57"/>
      <c r="O124" s="57"/>
      <c r="P124" s="24" t="e">
        <f t="shared" si="33"/>
        <v>#DIV/0!</v>
      </c>
      <c r="Q124" s="34" t="e">
        <f t="shared" si="30"/>
        <v>#DIV/0!</v>
      </c>
      <c r="R124" s="31" t="e">
        <f t="shared" si="31"/>
        <v>#DIV/0!</v>
      </c>
      <c r="S124" s="25" t="e">
        <f t="shared" si="27"/>
        <v>#DIV/0!</v>
      </c>
    </row>
    <row r="125" spans="1:19" ht="11.25" customHeight="1">
      <c r="A125" s="36" t="s">
        <v>39</v>
      </c>
      <c r="B125" s="80"/>
      <c r="C125" s="23" t="s">
        <v>40</v>
      </c>
      <c r="D125" s="60"/>
      <c r="E125" s="60">
        <f t="shared" si="46"/>
        <v>0</v>
      </c>
      <c r="F125" s="66">
        <f t="shared" si="45"/>
        <v>0</v>
      </c>
      <c r="G125" s="60"/>
      <c r="H125" s="60"/>
      <c r="I125" s="25"/>
      <c r="J125" s="25"/>
      <c r="K125" s="25"/>
      <c r="L125" s="27"/>
      <c r="M125" s="27"/>
      <c r="N125" s="57"/>
      <c r="O125" s="57"/>
      <c r="P125" s="24" t="e">
        <f t="shared" si="33"/>
        <v>#DIV/0!</v>
      </c>
      <c r="Q125" s="34"/>
      <c r="R125" s="31"/>
      <c r="S125" s="25"/>
    </row>
    <row r="126" spans="1:19" ht="12.75">
      <c r="A126" s="32" t="s">
        <v>1</v>
      </c>
      <c r="B126" s="32"/>
      <c r="C126" s="39" t="s">
        <v>0</v>
      </c>
      <c r="D126" s="40">
        <f aca="true" t="shared" si="47" ref="D126:L126">D127</f>
        <v>26669.6</v>
      </c>
      <c r="E126" s="40">
        <f t="shared" si="47"/>
        <v>32055.200000000004</v>
      </c>
      <c r="F126" s="81">
        <f t="shared" si="47"/>
        <v>16796.9</v>
      </c>
      <c r="G126" s="81">
        <f t="shared" si="47"/>
        <v>5481.7</v>
      </c>
      <c r="H126" s="81">
        <f t="shared" si="47"/>
        <v>11315.2</v>
      </c>
      <c r="I126" s="81">
        <f t="shared" si="47"/>
        <v>9130.7</v>
      </c>
      <c r="J126" s="40">
        <f t="shared" si="47"/>
        <v>6127.6</v>
      </c>
      <c r="K126" s="40">
        <f t="shared" si="47"/>
        <v>11315.7</v>
      </c>
      <c r="L126" s="40" t="e">
        <f t="shared" si="47"/>
        <v>#REF!</v>
      </c>
      <c r="M126" s="34">
        <f>K126/I126*100</f>
        <v>123.93025726395565</v>
      </c>
      <c r="N126" s="57"/>
      <c r="O126" s="57"/>
      <c r="P126" s="43">
        <f t="shared" si="33"/>
        <v>184.66773288073634</v>
      </c>
      <c r="Q126" s="34">
        <f t="shared" si="30"/>
        <v>67.36778810375723</v>
      </c>
      <c r="R126" s="31">
        <f t="shared" si="31"/>
        <v>35.30066884624023</v>
      </c>
      <c r="S126" s="31">
        <f t="shared" si="27"/>
        <v>42.42920778714342</v>
      </c>
    </row>
    <row r="127" spans="1:19" ht="24">
      <c r="A127" s="21" t="s">
        <v>67</v>
      </c>
      <c r="B127" s="19"/>
      <c r="C127" s="41" t="s">
        <v>20</v>
      </c>
      <c r="D127" s="44">
        <v>26669.6</v>
      </c>
      <c r="E127" s="60">
        <f t="shared" si="46"/>
        <v>32055.200000000004</v>
      </c>
      <c r="F127" s="66">
        <f t="shared" si="45"/>
        <v>16796.9</v>
      </c>
      <c r="G127" s="60">
        <v>5481.7</v>
      </c>
      <c r="H127" s="60">
        <f>9263.1+2052.1</f>
        <v>11315.2</v>
      </c>
      <c r="I127" s="25">
        <v>9130.7</v>
      </c>
      <c r="J127" s="25">
        <v>6127.6</v>
      </c>
      <c r="K127" s="25">
        <v>11315.7</v>
      </c>
      <c r="L127" s="27" t="e">
        <f>K127/#REF!*100</f>
        <v>#REF!</v>
      </c>
      <c r="M127" s="27">
        <f>K127/I127*100</f>
        <v>123.93025726395565</v>
      </c>
      <c r="N127" s="57"/>
      <c r="O127" s="57"/>
      <c r="P127" s="24">
        <f t="shared" si="33"/>
        <v>184.66773288073634</v>
      </c>
      <c r="Q127" s="27">
        <f t="shared" si="30"/>
        <v>67.36778810375723</v>
      </c>
      <c r="R127" s="25">
        <f t="shared" si="31"/>
        <v>35.30066884624023</v>
      </c>
      <c r="S127" s="25">
        <f t="shared" si="27"/>
        <v>42.42920778714342</v>
      </c>
    </row>
    <row r="128" spans="1:19" ht="12.75">
      <c r="A128" s="28"/>
      <c r="B128" s="29"/>
      <c r="C128" s="30" t="s">
        <v>4</v>
      </c>
      <c r="D128" s="31">
        <f aca="true" t="shared" si="48" ref="D128:K128">D126+D114</f>
        <v>30710.6</v>
      </c>
      <c r="E128" s="31">
        <f t="shared" si="48"/>
        <v>36096.200000000004</v>
      </c>
      <c r="F128" s="31">
        <f t="shared" si="48"/>
        <v>18817.100000000002</v>
      </c>
      <c r="G128" s="31">
        <f t="shared" si="48"/>
        <v>6434</v>
      </c>
      <c r="H128" s="31">
        <f t="shared" si="48"/>
        <v>12383.1</v>
      </c>
      <c r="I128" s="31">
        <f t="shared" si="48"/>
        <v>10170.5</v>
      </c>
      <c r="J128" s="31">
        <f t="shared" si="48"/>
        <v>7108.6</v>
      </c>
      <c r="K128" s="31">
        <f t="shared" si="48"/>
        <v>13217.7</v>
      </c>
      <c r="L128" s="34" t="e">
        <f>K128/#REF!*100</f>
        <v>#REF!</v>
      </c>
      <c r="M128" s="34">
        <f>K128/I128*100</f>
        <v>129.96116218475004</v>
      </c>
      <c r="N128" s="57"/>
      <c r="O128" s="58" t="e">
        <f>J128+#REF!+#REF!</f>
        <v>#REF!</v>
      </c>
      <c r="P128" s="43">
        <f t="shared" si="33"/>
        <v>185.9395661593</v>
      </c>
      <c r="Q128" s="34">
        <f t="shared" si="30"/>
        <v>70.24302363275956</v>
      </c>
      <c r="R128" s="31">
        <f t="shared" si="31"/>
        <v>36.61798194823832</v>
      </c>
      <c r="S128" s="31">
        <f t="shared" si="27"/>
        <v>43.03953683744375</v>
      </c>
    </row>
    <row r="129" spans="1:19" ht="12.75">
      <c r="A129" s="96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8"/>
      <c r="N129" s="57"/>
      <c r="O129" s="57"/>
      <c r="P129" s="56"/>
      <c r="Q129" s="34"/>
      <c r="R129" s="31"/>
      <c r="S129" s="25"/>
    </row>
    <row r="130" spans="1:19" ht="12.75">
      <c r="A130" s="87" t="s">
        <v>31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9"/>
    </row>
    <row r="131" spans="1:19" ht="12.75">
      <c r="A131" s="32" t="s">
        <v>3</v>
      </c>
      <c r="B131" s="32"/>
      <c r="C131" s="33" t="s">
        <v>68</v>
      </c>
      <c r="D131" s="34">
        <f aca="true" t="shared" si="49" ref="D131:J131">D132+D134+D135+D136+D138+D140+D137+D139+D133</f>
        <v>8150.6</v>
      </c>
      <c r="E131" s="34">
        <f t="shared" si="49"/>
        <v>8475.8</v>
      </c>
      <c r="F131" s="34">
        <f t="shared" si="49"/>
        <v>4120</v>
      </c>
      <c r="G131" s="34">
        <f t="shared" si="49"/>
        <v>1445.3</v>
      </c>
      <c r="H131" s="34">
        <f t="shared" si="49"/>
        <v>2674.7</v>
      </c>
      <c r="I131" s="34">
        <f t="shared" si="49"/>
        <v>2156</v>
      </c>
      <c r="J131" s="34">
        <f t="shared" si="49"/>
        <v>2199.8</v>
      </c>
      <c r="K131" s="34">
        <f>K132+K134+K135+K136+K138+K140+K137+K139+K133</f>
        <v>3849.3</v>
      </c>
      <c r="L131" s="34" t="e">
        <f>K131/#REF!*100</f>
        <v>#REF!</v>
      </c>
      <c r="M131" s="34">
        <f aca="true" t="shared" si="50" ref="M131:M138">K131/I131*100</f>
        <v>178.53896103896105</v>
      </c>
      <c r="N131" s="57"/>
      <c r="O131" s="57"/>
      <c r="P131" s="34">
        <f t="shared" si="33"/>
        <v>174.9840894626784</v>
      </c>
      <c r="Q131" s="34">
        <f t="shared" si="30"/>
        <v>93.42961165048544</v>
      </c>
      <c r="R131" s="31">
        <f t="shared" si="31"/>
        <v>45.415182047712314</v>
      </c>
      <c r="S131" s="31">
        <f t="shared" si="27"/>
        <v>47.227197997693416</v>
      </c>
    </row>
    <row r="132" spans="1:19" ht="12.75">
      <c r="A132" s="28" t="s">
        <v>23</v>
      </c>
      <c r="B132" s="28"/>
      <c r="C132" s="35" t="s">
        <v>22</v>
      </c>
      <c r="D132" s="60">
        <v>2250</v>
      </c>
      <c r="E132" s="60">
        <f>G132+H132+I132+J132</f>
        <v>2250</v>
      </c>
      <c r="F132" s="66">
        <f aca="true" t="shared" si="51" ref="F132:F142">G132+H132</f>
        <v>1102.5</v>
      </c>
      <c r="G132" s="44">
        <v>405</v>
      </c>
      <c r="H132" s="44">
        <v>697.5</v>
      </c>
      <c r="I132" s="24">
        <v>607.5</v>
      </c>
      <c r="J132" s="25">
        <v>540</v>
      </c>
      <c r="K132" s="25">
        <v>1148.9</v>
      </c>
      <c r="L132" s="27" t="e">
        <f>K132/#REF!*100</f>
        <v>#REF!</v>
      </c>
      <c r="M132" s="27">
        <f t="shared" si="50"/>
        <v>189.11934156378604</v>
      </c>
      <c r="N132" s="57"/>
      <c r="O132" s="57"/>
      <c r="P132" s="24">
        <f t="shared" si="33"/>
        <v>212.7592592592593</v>
      </c>
      <c r="Q132" s="27">
        <f t="shared" si="30"/>
        <v>104.20861678004536</v>
      </c>
      <c r="R132" s="25">
        <f t="shared" si="31"/>
        <v>51.06222222222223</v>
      </c>
      <c r="S132" s="25">
        <f t="shared" si="27"/>
        <v>51.06222222222223</v>
      </c>
    </row>
    <row r="133" spans="1:19" ht="12.75">
      <c r="A133" s="19" t="s">
        <v>70</v>
      </c>
      <c r="B133" s="19"/>
      <c r="C133" s="35" t="s">
        <v>71</v>
      </c>
      <c r="D133" s="60">
        <v>5246.2</v>
      </c>
      <c r="E133" s="60">
        <f>G133+H133+I133+J133</f>
        <v>5246.2</v>
      </c>
      <c r="F133" s="66">
        <f t="shared" si="51"/>
        <v>2331.8999999999996</v>
      </c>
      <c r="G133" s="44">
        <v>944.3</v>
      </c>
      <c r="H133" s="44">
        <v>1387.6</v>
      </c>
      <c r="I133" s="24">
        <v>1416.5</v>
      </c>
      <c r="J133" s="25">
        <v>1497.8</v>
      </c>
      <c r="K133" s="25">
        <v>2316.5</v>
      </c>
      <c r="L133" s="27"/>
      <c r="M133" s="27"/>
      <c r="N133" s="57"/>
      <c r="O133" s="57"/>
      <c r="P133" s="24"/>
      <c r="Q133" s="27">
        <f>K133*100/F133</f>
        <v>99.33959432222653</v>
      </c>
      <c r="R133" s="25">
        <f>K133*100/E133</f>
        <v>44.15576989058747</v>
      </c>
      <c r="S133" s="25">
        <f t="shared" si="27"/>
        <v>44.15576989058747</v>
      </c>
    </row>
    <row r="134" spans="1:19" ht="12.75">
      <c r="A134" s="19" t="s">
        <v>9</v>
      </c>
      <c r="B134" s="19"/>
      <c r="C134" s="35" t="s">
        <v>6</v>
      </c>
      <c r="D134" s="60">
        <v>298</v>
      </c>
      <c r="E134" s="60">
        <f aca="true" t="shared" si="52" ref="E134:E143">G134+H134+I134+J134</f>
        <v>298</v>
      </c>
      <c r="F134" s="66">
        <f t="shared" si="51"/>
        <v>143</v>
      </c>
      <c r="G134" s="44">
        <v>53.6</v>
      </c>
      <c r="H134" s="44">
        <v>89.4</v>
      </c>
      <c r="I134" s="24">
        <v>75.1</v>
      </c>
      <c r="J134" s="25">
        <v>79.9</v>
      </c>
      <c r="K134" s="25">
        <v>104.4</v>
      </c>
      <c r="L134" s="27" t="e">
        <f>K134/#REF!*100</f>
        <v>#REF!</v>
      </c>
      <c r="M134" s="27">
        <f t="shared" si="50"/>
        <v>139.0146471371505</v>
      </c>
      <c r="N134" s="57"/>
      <c r="O134" s="57"/>
      <c r="P134" s="24">
        <f t="shared" si="33"/>
        <v>130.6633291614518</v>
      </c>
      <c r="Q134" s="27">
        <f t="shared" si="30"/>
        <v>73.00699300699301</v>
      </c>
      <c r="R134" s="25">
        <f t="shared" si="31"/>
        <v>35.033557046979865</v>
      </c>
      <c r="S134" s="25">
        <f t="shared" si="27"/>
        <v>35.033557046979865</v>
      </c>
    </row>
    <row r="135" spans="1:19" ht="12.75">
      <c r="A135" s="19" t="s">
        <v>10</v>
      </c>
      <c r="B135" s="19"/>
      <c r="C135" s="35" t="s">
        <v>21</v>
      </c>
      <c r="D135" s="60">
        <v>56.4</v>
      </c>
      <c r="E135" s="60">
        <f t="shared" si="52"/>
        <v>56.4</v>
      </c>
      <c r="F135" s="66">
        <f t="shared" si="51"/>
        <v>27.7</v>
      </c>
      <c r="G135" s="44">
        <v>10.2</v>
      </c>
      <c r="H135" s="44">
        <v>17.5</v>
      </c>
      <c r="I135" s="24">
        <v>15.2</v>
      </c>
      <c r="J135" s="25">
        <v>13.5</v>
      </c>
      <c r="K135" s="25">
        <v>4.4</v>
      </c>
      <c r="L135" s="27" t="e">
        <f>K135/#REF!*100</f>
        <v>#REF!</v>
      </c>
      <c r="M135" s="27">
        <f t="shared" si="50"/>
        <v>28.947368421052634</v>
      </c>
      <c r="N135" s="57"/>
      <c r="O135" s="57"/>
      <c r="P135" s="24">
        <f t="shared" si="33"/>
        <v>32.592592592592595</v>
      </c>
      <c r="Q135" s="27">
        <f t="shared" si="30"/>
        <v>15.88447653429603</v>
      </c>
      <c r="R135" s="25">
        <f t="shared" si="31"/>
        <v>7.801418439716313</v>
      </c>
      <c r="S135" s="25">
        <f t="shared" si="27"/>
        <v>7.801418439716313</v>
      </c>
    </row>
    <row r="136" spans="1:19" ht="24">
      <c r="A136" s="20" t="s">
        <v>11</v>
      </c>
      <c r="B136" s="20"/>
      <c r="C136" s="35" t="s">
        <v>17</v>
      </c>
      <c r="D136" s="60">
        <v>220</v>
      </c>
      <c r="E136" s="60">
        <f t="shared" si="52"/>
        <v>354.2</v>
      </c>
      <c r="F136" s="66">
        <f t="shared" si="51"/>
        <v>303.6</v>
      </c>
      <c r="G136" s="44">
        <v>12.6</v>
      </c>
      <c r="H136" s="44">
        <v>291</v>
      </c>
      <c r="I136" s="24">
        <v>21.9</v>
      </c>
      <c r="J136" s="25">
        <v>28.7</v>
      </c>
      <c r="K136" s="25">
        <v>227.6</v>
      </c>
      <c r="L136" s="27" t="e">
        <f>K136/#REF!*100</f>
        <v>#REF!</v>
      </c>
      <c r="M136" s="27">
        <f t="shared" si="50"/>
        <v>1039.269406392694</v>
      </c>
      <c r="N136" s="57"/>
      <c r="O136" s="57"/>
      <c r="P136" s="24">
        <f t="shared" si="33"/>
        <v>793.0313588850174</v>
      </c>
      <c r="Q136" s="27">
        <f t="shared" si="30"/>
        <v>74.96706192358366</v>
      </c>
      <c r="R136" s="25">
        <f t="shared" si="31"/>
        <v>64.257481648786</v>
      </c>
      <c r="S136" s="25">
        <f t="shared" si="27"/>
        <v>103.45454545454545</v>
      </c>
    </row>
    <row r="137" spans="1:19" ht="12.75">
      <c r="A137" s="37" t="s">
        <v>42</v>
      </c>
      <c r="B137" s="37"/>
      <c r="C137" s="35" t="s">
        <v>43</v>
      </c>
      <c r="D137" s="60">
        <v>80</v>
      </c>
      <c r="E137" s="60">
        <f t="shared" si="52"/>
        <v>100</v>
      </c>
      <c r="F137" s="66">
        <f t="shared" si="51"/>
        <v>40.3</v>
      </c>
      <c r="G137" s="44">
        <v>19.6</v>
      </c>
      <c r="H137" s="44">
        <v>20.7</v>
      </c>
      <c r="I137" s="24">
        <v>19.8</v>
      </c>
      <c r="J137" s="25">
        <v>39.9</v>
      </c>
      <c r="K137" s="25">
        <v>25</v>
      </c>
      <c r="L137" s="27" t="e">
        <f>K137/#REF!*100</f>
        <v>#REF!</v>
      </c>
      <c r="M137" s="27">
        <f t="shared" si="50"/>
        <v>126.26262626262626</v>
      </c>
      <c r="N137" s="57"/>
      <c r="O137" s="57"/>
      <c r="P137" s="24">
        <f t="shared" si="33"/>
        <v>62.65664160401003</v>
      </c>
      <c r="Q137" s="27">
        <f t="shared" si="30"/>
        <v>62.0347394540943</v>
      </c>
      <c r="R137" s="25">
        <f t="shared" si="31"/>
        <v>25</v>
      </c>
      <c r="S137" s="25">
        <f aca="true" t="shared" si="53" ref="S137:S200">K137*100/D137</f>
        <v>31.25</v>
      </c>
    </row>
    <row r="138" spans="1:19" ht="18.75" customHeight="1">
      <c r="A138" s="37" t="s">
        <v>18</v>
      </c>
      <c r="B138" s="37"/>
      <c r="C138" s="35" t="s">
        <v>15</v>
      </c>
      <c r="D138" s="60">
        <v>0</v>
      </c>
      <c r="E138" s="60">
        <f t="shared" si="52"/>
        <v>171</v>
      </c>
      <c r="F138" s="66">
        <f t="shared" si="51"/>
        <v>171</v>
      </c>
      <c r="G138" s="44"/>
      <c r="H138" s="44">
        <v>171</v>
      </c>
      <c r="I138" s="24"/>
      <c r="J138" s="25"/>
      <c r="K138" s="25"/>
      <c r="L138" s="27" t="e">
        <f>K138/#REF!*100</f>
        <v>#REF!</v>
      </c>
      <c r="M138" s="27" t="e">
        <f t="shared" si="50"/>
        <v>#DIV/0!</v>
      </c>
      <c r="N138" s="57"/>
      <c r="O138" s="57"/>
      <c r="P138" s="24" t="e">
        <f t="shared" si="33"/>
        <v>#DIV/0!</v>
      </c>
      <c r="Q138" s="27"/>
      <c r="R138" s="25"/>
      <c r="S138" s="25"/>
    </row>
    <row r="139" spans="1:19" ht="15" customHeight="1" hidden="1">
      <c r="A139" s="28" t="s">
        <v>12</v>
      </c>
      <c r="B139" s="28"/>
      <c r="C139" s="35" t="s">
        <v>7</v>
      </c>
      <c r="D139" s="60"/>
      <c r="E139" s="60">
        <f t="shared" si="52"/>
        <v>0</v>
      </c>
      <c r="F139" s="66">
        <f t="shared" si="51"/>
        <v>0</v>
      </c>
      <c r="G139" s="44"/>
      <c r="H139" s="44"/>
      <c r="I139" s="24"/>
      <c r="J139" s="25"/>
      <c r="K139" s="25"/>
      <c r="L139" s="27"/>
      <c r="M139" s="27"/>
      <c r="N139" s="57"/>
      <c r="O139" s="57"/>
      <c r="P139" s="24"/>
      <c r="Q139" s="27"/>
      <c r="R139" s="25"/>
      <c r="S139" s="25"/>
    </row>
    <row r="140" spans="1:19" ht="12.75">
      <c r="A140" s="37" t="s">
        <v>39</v>
      </c>
      <c r="B140" s="80"/>
      <c r="C140" s="23" t="s">
        <v>40</v>
      </c>
      <c r="D140" s="60"/>
      <c r="E140" s="60">
        <f t="shared" si="52"/>
        <v>0</v>
      </c>
      <c r="F140" s="66">
        <f t="shared" si="51"/>
        <v>0</v>
      </c>
      <c r="G140" s="44"/>
      <c r="H140" s="44"/>
      <c r="I140" s="24"/>
      <c r="J140" s="25"/>
      <c r="K140" s="24">
        <v>22.5</v>
      </c>
      <c r="L140" s="27"/>
      <c r="M140" s="27"/>
      <c r="N140" s="57"/>
      <c r="O140" s="57"/>
      <c r="P140" s="24"/>
      <c r="Q140" s="27"/>
      <c r="R140" s="25"/>
      <c r="S140" s="25"/>
    </row>
    <row r="141" spans="1:19" ht="12.75">
      <c r="A141" s="62" t="s">
        <v>1</v>
      </c>
      <c r="B141" s="62"/>
      <c r="C141" s="39" t="s">
        <v>0</v>
      </c>
      <c r="D141" s="40">
        <f aca="true" t="shared" si="54" ref="D141:K141">D142+D143</f>
        <v>42714</v>
      </c>
      <c r="E141" s="40">
        <f t="shared" si="54"/>
        <v>47740.399999999994</v>
      </c>
      <c r="F141" s="40">
        <f t="shared" si="54"/>
        <v>25568.1</v>
      </c>
      <c r="G141" s="40">
        <f t="shared" si="54"/>
        <v>13333.9</v>
      </c>
      <c r="H141" s="40">
        <f t="shared" si="54"/>
        <v>12234.199999999999</v>
      </c>
      <c r="I141" s="40">
        <f t="shared" si="54"/>
        <v>10300.8</v>
      </c>
      <c r="J141" s="40">
        <f t="shared" si="54"/>
        <v>11871.5</v>
      </c>
      <c r="K141" s="40">
        <f t="shared" si="54"/>
        <v>17297.8</v>
      </c>
      <c r="L141" s="34" t="e">
        <f>K141/#REF!*100</f>
        <v>#REF!</v>
      </c>
      <c r="M141" s="34">
        <f>K141/I141*100</f>
        <v>167.92676296986642</v>
      </c>
      <c r="N141" s="57"/>
      <c r="O141" s="57"/>
      <c r="P141" s="43">
        <f t="shared" si="33"/>
        <v>145.70862991197404</v>
      </c>
      <c r="Q141" s="34">
        <f t="shared" si="30"/>
        <v>67.65383427004744</v>
      </c>
      <c r="R141" s="31">
        <f t="shared" si="31"/>
        <v>36.233043711405855</v>
      </c>
      <c r="S141" s="31">
        <f t="shared" si="53"/>
        <v>40.49679262068643</v>
      </c>
    </row>
    <row r="142" spans="1:19" ht="24">
      <c r="A142" s="21" t="s">
        <v>67</v>
      </c>
      <c r="B142" s="19"/>
      <c r="C142" s="41" t="s">
        <v>20</v>
      </c>
      <c r="D142" s="44">
        <v>42714</v>
      </c>
      <c r="E142" s="60">
        <f t="shared" si="52"/>
        <v>47740.399999999994</v>
      </c>
      <c r="F142" s="66">
        <f t="shared" si="51"/>
        <v>25568.1</v>
      </c>
      <c r="G142" s="44">
        <v>13333.9</v>
      </c>
      <c r="H142" s="44">
        <f>10345.9+1888.3</f>
        <v>12234.199999999999</v>
      </c>
      <c r="I142" s="24">
        <v>10300.8</v>
      </c>
      <c r="J142" s="25">
        <v>11871.5</v>
      </c>
      <c r="K142" s="25">
        <v>17297.8</v>
      </c>
      <c r="L142" s="27" t="e">
        <f>K142/#REF!*100</f>
        <v>#REF!</v>
      </c>
      <c r="M142" s="27">
        <f>K142/I142*100</f>
        <v>167.92676296986642</v>
      </c>
      <c r="N142" s="57"/>
      <c r="O142" s="57"/>
      <c r="P142" s="24">
        <f t="shared" si="33"/>
        <v>145.70862991197404</v>
      </c>
      <c r="Q142" s="27">
        <f t="shared" si="30"/>
        <v>67.65383427004744</v>
      </c>
      <c r="R142" s="25">
        <f t="shared" si="31"/>
        <v>36.233043711405855</v>
      </c>
      <c r="S142" s="25">
        <f t="shared" si="53"/>
        <v>40.49679262068643</v>
      </c>
    </row>
    <row r="143" spans="1:19" ht="12.75" hidden="1">
      <c r="A143" s="21" t="s">
        <v>2</v>
      </c>
      <c r="B143" s="21"/>
      <c r="C143" s="42" t="s">
        <v>19</v>
      </c>
      <c r="D143" s="42"/>
      <c r="E143" s="60">
        <f t="shared" si="52"/>
        <v>0</v>
      </c>
      <c r="F143" s="60">
        <f>G143</f>
        <v>0</v>
      </c>
      <c r="G143" s="79"/>
      <c r="H143" s="79"/>
      <c r="I143" s="24"/>
      <c r="J143" s="25"/>
      <c r="K143" s="25"/>
      <c r="L143" s="27"/>
      <c r="M143" s="27"/>
      <c r="N143" s="57"/>
      <c r="O143" s="57"/>
      <c r="P143" s="24" t="e">
        <f t="shared" si="33"/>
        <v>#DIV/0!</v>
      </c>
      <c r="Q143" s="27"/>
      <c r="R143" s="25"/>
      <c r="S143" s="25" t="e">
        <f t="shared" si="53"/>
        <v>#DIV/0!</v>
      </c>
    </row>
    <row r="144" spans="1:19" ht="12.75">
      <c r="A144" s="28"/>
      <c r="B144" s="29"/>
      <c r="C144" s="30" t="s">
        <v>4</v>
      </c>
      <c r="D144" s="31">
        <f aca="true" t="shared" si="55" ref="D144:K144">D141+D131</f>
        <v>50864.6</v>
      </c>
      <c r="E144" s="31">
        <f t="shared" si="55"/>
        <v>56216.2</v>
      </c>
      <c r="F144" s="31">
        <f t="shared" si="55"/>
        <v>29688.1</v>
      </c>
      <c r="G144" s="43">
        <f t="shared" si="55"/>
        <v>14779.199999999999</v>
      </c>
      <c r="H144" s="43">
        <f t="shared" si="55"/>
        <v>14908.899999999998</v>
      </c>
      <c r="I144" s="43">
        <f t="shared" si="55"/>
        <v>12456.8</v>
      </c>
      <c r="J144" s="31">
        <f t="shared" si="55"/>
        <v>14071.3</v>
      </c>
      <c r="K144" s="31">
        <f t="shared" si="55"/>
        <v>21147.1</v>
      </c>
      <c r="L144" s="34" t="e">
        <f>K144/#REF!*100</f>
        <v>#REF!</v>
      </c>
      <c r="M144" s="34">
        <f>K144/I144*100</f>
        <v>169.76350266521095</v>
      </c>
      <c r="N144" s="57"/>
      <c r="O144" s="58" t="e">
        <f>J144+#REF!+#REF!</f>
        <v>#REF!</v>
      </c>
      <c r="P144" s="43">
        <f t="shared" si="33"/>
        <v>150.2853325563381</v>
      </c>
      <c r="Q144" s="34">
        <f t="shared" si="30"/>
        <v>71.23089722818234</v>
      </c>
      <c r="R144" s="31">
        <f t="shared" si="31"/>
        <v>37.61744835118703</v>
      </c>
      <c r="S144" s="31">
        <f t="shared" si="53"/>
        <v>41.57528025385042</v>
      </c>
    </row>
    <row r="145" spans="1:19" ht="12.75">
      <c r="A145" s="102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4"/>
      <c r="N145" s="57"/>
      <c r="O145" s="57"/>
      <c r="P145" s="56"/>
      <c r="Q145" s="34"/>
      <c r="R145" s="31"/>
      <c r="S145" s="25"/>
    </row>
    <row r="146" spans="1:19" ht="12.75">
      <c r="A146" s="87" t="s">
        <v>32</v>
      </c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9"/>
    </row>
    <row r="147" spans="1:19" ht="12.75">
      <c r="A147" s="32" t="s">
        <v>3</v>
      </c>
      <c r="B147" s="32"/>
      <c r="C147" s="33" t="s">
        <v>68</v>
      </c>
      <c r="D147" s="34">
        <f aca="true" t="shared" si="56" ref="D147:K147">D148+D151+D153+D155+D152+D156+D154+D157+D150+D149</f>
        <v>18388.7</v>
      </c>
      <c r="E147" s="34">
        <f t="shared" si="56"/>
        <v>18388.7</v>
      </c>
      <c r="F147" s="34">
        <f t="shared" si="56"/>
        <v>9615.9</v>
      </c>
      <c r="G147" s="34">
        <f t="shared" si="56"/>
        <v>4398.4</v>
      </c>
      <c r="H147" s="34">
        <f t="shared" si="56"/>
        <v>5217.5</v>
      </c>
      <c r="I147" s="34">
        <f t="shared" si="56"/>
        <v>4290.5</v>
      </c>
      <c r="J147" s="34">
        <f t="shared" si="56"/>
        <v>4482.3</v>
      </c>
      <c r="K147" s="34">
        <f t="shared" si="56"/>
        <v>8154.1</v>
      </c>
      <c r="L147" s="34" t="e">
        <f>K147/#REF!*100</f>
        <v>#REF!</v>
      </c>
      <c r="M147" s="34">
        <f>K147/I147*100</f>
        <v>190.0501107097075</v>
      </c>
      <c r="N147" s="57"/>
      <c r="O147" s="57"/>
      <c r="P147" s="34">
        <f t="shared" si="33"/>
        <v>181.91776543292505</v>
      </c>
      <c r="Q147" s="34">
        <f t="shared" si="30"/>
        <v>84.79809482211753</v>
      </c>
      <c r="R147" s="31">
        <f t="shared" si="31"/>
        <v>44.342993251290196</v>
      </c>
      <c r="S147" s="31">
        <f t="shared" si="53"/>
        <v>44.342993251290196</v>
      </c>
    </row>
    <row r="148" spans="1:19" ht="12.75">
      <c r="A148" s="28" t="s">
        <v>23</v>
      </c>
      <c r="B148" s="28"/>
      <c r="C148" s="35" t="s">
        <v>22</v>
      </c>
      <c r="D148" s="60">
        <v>13000</v>
      </c>
      <c r="E148" s="44">
        <f>G148+H148+I148+J148</f>
        <v>13000</v>
      </c>
      <c r="F148" s="66">
        <f aca="true" t="shared" si="57" ref="F148:F159">G148+H148</f>
        <v>7110</v>
      </c>
      <c r="G148" s="44">
        <v>3030</v>
      </c>
      <c r="H148" s="44">
        <v>4080</v>
      </c>
      <c r="I148" s="24">
        <v>3090</v>
      </c>
      <c r="J148" s="25">
        <v>2800</v>
      </c>
      <c r="K148" s="25">
        <v>5617.8</v>
      </c>
      <c r="L148" s="27" t="e">
        <f>K148/#REF!*100</f>
        <v>#REF!</v>
      </c>
      <c r="M148" s="27">
        <f>K148/I148*100</f>
        <v>181.80582524271844</v>
      </c>
      <c r="N148" s="57"/>
      <c r="O148" s="57"/>
      <c r="P148" s="24">
        <f t="shared" si="33"/>
        <v>200.63571428571427</v>
      </c>
      <c r="Q148" s="27">
        <f t="shared" si="30"/>
        <v>79.0126582278481</v>
      </c>
      <c r="R148" s="25">
        <f t="shared" si="31"/>
        <v>43.213846153846156</v>
      </c>
      <c r="S148" s="25">
        <f t="shared" si="53"/>
        <v>43.213846153846156</v>
      </c>
    </row>
    <row r="149" spans="1:19" ht="12.75">
      <c r="A149" s="19" t="s">
        <v>70</v>
      </c>
      <c r="B149" s="19"/>
      <c r="C149" s="35" t="s">
        <v>71</v>
      </c>
      <c r="D149" s="60">
        <v>3943.7</v>
      </c>
      <c r="E149" s="44">
        <f>G149+H149+I149+J149</f>
        <v>3943.7</v>
      </c>
      <c r="F149" s="66">
        <f t="shared" si="57"/>
        <v>2044.7</v>
      </c>
      <c r="G149" s="44">
        <v>1110.9</v>
      </c>
      <c r="H149" s="44">
        <v>933.8</v>
      </c>
      <c r="I149" s="24">
        <v>1019</v>
      </c>
      <c r="J149" s="25">
        <v>880</v>
      </c>
      <c r="K149" s="25">
        <v>1741.4</v>
      </c>
      <c r="L149" s="27"/>
      <c r="M149" s="27"/>
      <c r="N149" s="57"/>
      <c r="O149" s="57"/>
      <c r="P149" s="24"/>
      <c r="Q149" s="27">
        <f>K149*100/F149</f>
        <v>85.16652809703135</v>
      </c>
      <c r="R149" s="25">
        <f>K149*100/E149</f>
        <v>44.15650277658037</v>
      </c>
      <c r="S149" s="25">
        <f t="shared" si="53"/>
        <v>44.15650277658037</v>
      </c>
    </row>
    <row r="150" spans="1:19" ht="12.75" customHeight="1">
      <c r="A150" s="19" t="s">
        <v>8</v>
      </c>
      <c r="B150" s="19"/>
      <c r="C150" s="35" t="s">
        <v>5</v>
      </c>
      <c r="D150" s="60">
        <v>16</v>
      </c>
      <c r="E150" s="44">
        <f aca="true" t="shared" si="58" ref="E150:E159">G150+H150+I150+J150</f>
        <v>16</v>
      </c>
      <c r="F150" s="66">
        <f t="shared" si="57"/>
        <v>8.2</v>
      </c>
      <c r="G150" s="44">
        <v>5</v>
      </c>
      <c r="H150" s="44">
        <v>3.2</v>
      </c>
      <c r="I150" s="24">
        <v>3</v>
      </c>
      <c r="J150" s="25">
        <v>4.8</v>
      </c>
      <c r="K150" s="25">
        <v>9.4</v>
      </c>
      <c r="L150" s="27"/>
      <c r="M150" s="27"/>
      <c r="N150" s="57"/>
      <c r="O150" s="57"/>
      <c r="P150" s="24">
        <f t="shared" si="33"/>
        <v>195.83333333333334</v>
      </c>
      <c r="Q150" s="27">
        <f>K150*100/F150</f>
        <v>114.63414634146342</v>
      </c>
      <c r="R150" s="25">
        <f>K150*100/E150</f>
        <v>58.75</v>
      </c>
      <c r="S150" s="25">
        <f t="shared" si="53"/>
        <v>58.75</v>
      </c>
    </row>
    <row r="151" spans="1:19" ht="12.75">
      <c r="A151" s="19" t="s">
        <v>9</v>
      </c>
      <c r="B151" s="19"/>
      <c r="C151" s="35" t="s">
        <v>6</v>
      </c>
      <c r="D151" s="60">
        <v>1137</v>
      </c>
      <c r="E151" s="44">
        <f t="shared" si="58"/>
        <v>1137</v>
      </c>
      <c r="F151" s="66">
        <f t="shared" si="57"/>
        <v>299</v>
      </c>
      <c r="G151" s="44">
        <v>170</v>
      </c>
      <c r="H151" s="44">
        <v>129</v>
      </c>
      <c r="I151" s="24">
        <v>121</v>
      </c>
      <c r="J151" s="25">
        <v>717</v>
      </c>
      <c r="K151" s="25">
        <v>633.8</v>
      </c>
      <c r="L151" s="27" t="e">
        <f>K151/#REF!*100</f>
        <v>#REF!</v>
      </c>
      <c r="M151" s="27">
        <f>K151/I151*100</f>
        <v>523.801652892562</v>
      </c>
      <c r="N151" s="57"/>
      <c r="O151" s="57"/>
      <c r="P151" s="24">
        <f t="shared" si="33"/>
        <v>88.39609483960948</v>
      </c>
      <c r="Q151" s="27">
        <f aca="true" t="shared" si="59" ref="Q151:Q217">K151*100/F151</f>
        <v>211.97324414715717</v>
      </c>
      <c r="R151" s="25">
        <f aca="true" t="shared" si="60" ref="R151:R217">K151*100/E151</f>
        <v>55.74318381706244</v>
      </c>
      <c r="S151" s="25">
        <f t="shared" si="53"/>
        <v>55.74318381706244</v>
      </c>
    </row>
    <row r="152" spans="1:19" ht="12.75">
      <c r="A152" s="19" t="s">
        <v>10</v>
      </c>
      <c r="B152" s="19"/>
      <c r="C152" s="35" t="s">
        <v>21</v>
      </c>
      <c r="D152" s="60">
        <v>132</v>
      </c>
      <c r="E152" s="44">
        <f t="shared" si="58"/>
        <v>132</v>
      </c>
      <c r="F152" s="66">
        <f t="shared" si="57"/>
        <v>77</v>
      </c>
      <c r="G152" s="44">
        <v>43</v>
      </c>
      <c r="H152" s="44">
        <v>34</v>
      </c>
      <c r="I152" s="24">
        <v>17</v>
      </c>
      <c r="J152" s="25">
        <v>38</v>
      </c>
      <c r="K152" s="25">
        <v>54</v>
      </c>
      <c r="L152" s="27" t="e">
        <f>K152/#REF!*100</f>
        <v>#REF!</v>
      </c>
      <c r="M152" s="27">
        <f>K152/I152*100</f>
        <v>317.6470588235294</v>
      </c>
      <c r="N152" s="57"/>
      <c r="O152" s="57"/>
      <c r="P152" s="24">
        <f t="shared" si="33"/>
        <v>142.10526315789474</v>
      </c>
      <c r="Q152" s="27">
        <f t="shared" si="59"/>
        <v>70.12987012987013</v>
      </c>
      <c r="R152" s="25">
        <f t="shared" si="60"/>
        <v>40.90909090909091</v>
      </c>
      <c r="S152" s="25">
        <f t="shared" si="53"/>
        <v>40.90909090909091</v>
      </c>
    </row>
    <row r="153" spans="1:19" ht="24">
      <c r="A153" s="20" t="s">
        <v>11</v>
      </c>
      <c r="B153" s="20"/>
      <c r="C153" s="35" t="s">
        <v>17</v>
      </c>
      <c r="D153" s="60">
        <v>160</v>
      </c>
      <c r="E153" s="44">
        <f t="shared" si="58"/>
        <v>160</v>
      </c>
      <c r="F153" s="66">
        <f t="shared" si="57"/>
        <v>77</v>
      </c>
      <c r="G153" s="44">
        <v>39.5</v>
      </c>
      <c r="H153" s="44">
        <v>37.5</v>
      </c>
      <c r="I153" s="24">
        <v>40.5</v>
      </c>
      <c r="J153" s="25">
        <v>42.5</v>
      </c>
      <c r="K153" s="25">
        <v>90.4</v>
      </c>
      <c r="L153" s="27" t="e">
        <f>K153/#REF!*100</f>
        <v>#REF!</v>
      </c>
      <c r="M153" s="27">
        <f>K153/I153*100</f>
        <v>223.20987654320987</v>
      </c>
      <c r="N153" s="57"/>
      <c r="O153" s="57"/>
      <c r="P153" s="24">
        <f t="shared" si="33"/>
        <v>212.7058823529412</v>
      </c>
      <c r="Q153" s="27">
        <f t="shared" si="59"/>
        <v>117.40259740259741</v>
      </c>
      <c r="R153" s="25">
        <f t="shared" si="60"/>
        <v>56.5</v>
      </c>
      <c r="S153" s="25">
        <f t="shared" si="53"/>
        <v>56.5</v>
      </c>
    </row>
    <row r="154" spans="1:19" ht="19.5" customHeight="1">
      <c r="A154" s="37" t="s">
        <v>42</v>
      </c>
      <c r="B154" s="37"/>
      <c r="C154" s="35" t="s">
        <v>43</v>
      </c>
      <c r="D154" s="60"/>
      <c r="E154" s="44">
        <f t="shared" si="58"/>
        <v>0</v>
      </c>
      <c r="F154" s="66">
        <f t="shared" si="57"/>
        <v>0</v>
      </c>
      <c r="G154" s="44"/>
      <c r="H154" s="44"/>
      <c r="I154" s="24"/>
      <c r="J154" s="25"/>
      <c r="K154" s="25">
        <v>7.3</v>
      </c>
      <c r="L154" s="27"/>
      <c r="M154" s="27"/>
      <c r="N154" s="57"/>
      <c r="O154" s="57"/>
      <c r="P154" s="24" t="e">
        <f aca="true" t="shared" si="61" ref="P154:P220">K154*100/J154</f>
        <v>#DIV/0!</v>
      </c>
      <c r="Q154" s="27"/>
      <c r="R154" s="25"/>
      <c r="S154" s="25"/>
    </row>
    <row r="155" spans="1:19" ht="19.5" customHeight="1" hidden="1">
      <c r="A155" s="36" t="s">
        <v>18</v>
      </c>
      <c r="B155" s="36"/>
      <c r="C155" s="35" t="s">
        <v>15</v>
      </c>
      <c r="D155" s="60"/>
      <c r="E155" s="44">
        <f t="shared" si="58"/>
        <v>0</v>
      </c>
      <c r="F155" s="66">
        <f t="shared" si="57"/>
        <v>0</v>
      </c>
      <c r="G155" s="44"/>
      <c r="H155" s="44"/>
      <c r="I155" s="24"/>
      <c r="J155" s="25"/>
      <c r="K155" s="25"/>
      <c r="L155" s="27" t="e">
        <f>K155/#REF!*100</f>
        <v>#REF!</v>
      </c>
      <c r="M155" s="27" t="e">
        <f>K155/I155*100</f>
        <v>#DIV/0!</v>
      </c>
      <c r="N155" s="57"/>
      <c r="O155" s="57"/>
      <c r="P155" s="24" t="e">
        <f t="shared" si="61"/>
        <v>#DIV/0!</v>
      </c>
      <c r="Q155" s="27"/>
      <c r="R155" s="25"/>
      <c r="S155" s="25"/>
    </row>
    <row r="156" spans="1:19" ht="17.25" customHeight="1" hidden="1">
      <c r="A156" s="28" t="s">
        <v>12</v>
      </c>
      <c r="B156" s="28"/>
      <c r="C156" s="35" t="s">
        <v>7</v>
      </c>
      <c r="D156" s="60"/>
      <c r="E156" s="44">
        <f t="shared" si="58"/>
        <v>0</v>
      </c>
      <c r="F156" s="66">
        <f t="shared" si="57"/>
        <v>0</v>
      </c>
      <c r="G156" s="44"/>
      <c r="H156" s="44"/>
      <c r="I156" s="24"/>
      <c r="J156" s="25"/>
      <c r="K156" s="25"/>
      <c r="L156" s="27" t="e">
        <f>K156/#REF!*100</f>
        <v>#REF!</v>
      </c>
      <c r="M156" s="27"/>
      <c r="N156" s="57"/>
      <c r="O156" s="57"/>
      <c r="P156" s="24" t="e">
        <f t="shared" si="61"/>
        <v>#DIV/0!</v>
      </c>
      <c r="Q156" s="27"/>
      <c r="R156" s="25"/>
      <c r="S156" s="25"/>
    </row>
    <row r="157" spans="1:19" ht="16.5" customHeight="1">
      <c r="A157" s="36" t="s">
        <v>39</v>
      </c>
      <c r="B157" s="82"/>
      <c r="C157" s="23" t="s">
        <v>40</v>
      </c>
      <c r="D157" s="60"/>
      <c r="E157" s="44">
        <f t="shared" si="58"/>
        <v>0</v>
      </c>
      <c r="F157" s="66">
        <f t="shared" si="57"/>
        <v>0</v>
      </c>
      <c r="G157" s="44"/>
      <c r="H157" s="44"/>
      <c r="I157" s="24"/>
      <c r="J157" s="25"/>
      <c r="K157" s="25"/>
      <c r="L157" s="27"/>
      <c r="M157" s="27"/>
      <c r="N157" s="57"/>
      <c r="O157" s="57"/>
      <c r="P157" s="24" t="e">
        <f t="shared" si="61"/>
        <v>#DIV/0!</v>
      </c>
      <c r="Q157" s="34"/>
      <c r="R157" s="31"/>
      <c r="S157" s="25"/>
    </row>
    <row r="158" spans="1:19" ht="12.75">
      <c r="A158" s="32" t="s">
        <v>1</v>
      </c>
      <c r="B158" s="32"/>
      <c r="C158" s="39" t="s">
        <v>0</v>
      </c>
      <c r="D158" s="40">
        <f>D159+D160</f>
        <v>28989</v>
      </c>
      <c r="E158" s="40">
        <f>E159+E160</f>
        <v>38417.9</v>
      </c>
      <c r="F158" s="40">
        <f aca="true" t="shared" si="62" ref="F158:K158">F159+F160</f>
        <v>23374.2</v>
      </c>
      <c r="G158" s="40">
        <f t="shared" si="62"/>
        <v>13980.5</v>
      </c>
      <c r="H158" s="40">
        <f t="shared" si="62"/>
        <v>9393.7</v>
      </c>
      <c r="I158" s="40">
        <f t="shared" si="62"/>
        <v>8123.2</v>
      </c>
      <c r="J158" s="40">
        <f t="shared" si="62"/>
        <v>6920.5</v>
      </c>
      <c r="K158" s="40">
        <f t="shared" si="62"/>
        <v>11718.3</v>
      </c>
      <c r="L158" s="34" t="e">
        <f>K158/#REF!*100</f>
        <v>#REF!</v>
      </c>
      <c r="M158" s="34">
        <f>K158/I158*100</f>
        <v>144.25718928501084</v>
      </c>
      <c r="N158" s="57"/>
      <c r="O158" s="57"/>
      <c r="P158" s="43">
        <f t="shared" si="61"/>
        <v>169.32736073983094</v>
      </c>
      <c r="Q158" s="34">
        <f t="shared" si="59"/>
        <v>50.133480504145595</v>
      </c>
      <c r="R158" s="31">
        <f t="shared" si="60"/>
        <v>30.50218778225775</v>
      </c>
      <c r="S158" s="31">
        <f t="shared" si="53"/>
        <v>40.4232639966884</v>
      </c>
    </row>
    <row r="159" spans="1:19" ht="24">
      <c r="A159" s="21" t="s">
        <v>67</v>
      </c>
      <c r="B159" s="19"/>
      <c r="C159" s="41" t="s">
        <v>20</v>
      </c>
      <c r="D159" s="44">
        <v>28989</v>
      </c>
      <c r="E159" s="44">
        <f t="shared" si="58"/>
        <v>38417.9</v>
      </c>
      <c r="F159" s="66">
        <f t="shared" si="57"/>
        <v>23374.2</v>
      </c>
      <c r="G159" s="44">
        <f>13980.5</f>
        <v>13980.5</v>
      </c>
      <c r="H159" s="44">
        <f>6992+2401.7</f>
        <v>9393.7</v>
      </c>
      <c r="I159" s="24">
        <v>8123.2</v>
      </c>
      <c r="J159" s="25">
        <v>6920.5</v>
      </c>
      <c r="K159" s="25">
        <v>11718.3</v>
      </c>
      <c r="L159" s="27" t="e">
        <f>K159/#REF!*100</f>
        <v>#REF!</v>
      </c>
      <c r="M159" s="27">
        <f>K159/I159*100</f>
        <v>144.25718928501084</v>
      </c>
      <c r="N159" s="57"/>
      <c r="O159" s="57"/>
      <c r="P159" s="24">
        <f t="shared" si="61"/>
        <v>169.32736073983094</v>
      </c>
      <c r="Q159" s="27">
        <f t="shared" si="59"/>
        <v>50.133480504145595</v>
      </c>
      <c r="R159" s="25">
        <f t="shared" si="60"/>
        <v>30.50218778225775</v>
      </c>
      <c r="S159" s="25">
        <f t="shared" si="53"/>
        <v>40.4232639966884</v>
      </c>
    </row>
    <row r="160" spans="1:19" ht="12.75" hidden="1">
      <c r="A160" s="21" t="s">
        <v>2</v>
      </c>
      <c r="B160" s="21"/>
      <c r="C160" s="42" t="s">
        <v>19</v>
      </c>
      <c r="D160" s="42"/>
      <c r="E160" s="44">
        <f>G160+H160+I160+J160</f>
        <v>0</v>
      </c>
      <c r="F160" s="60">
        <f>G160</f>
        <v>0</v>
      </c>
      <c r="G160" s="44"/>
      <c r="H160" s="44"/>
      <c r="I160" s="24"/>
      <c r="J160" s="25"/>
      <c r="K160" s="25"/>
      <c r="L160" s="27"/>
      <c r="M160" s="27"/>
      <c r="N160" s="57"/>
      <c r="O160" s="57"/>
      <c r="P160" s="24"/>
      <c r="Q160" s="27"/>
      <c r="R160" s="25"/>
      <c r="S160" s="25" t="e">
        <f t="shared" si="53"/>
        <v>#DIV/0!</v>
      </c>
    </row>
    <row r="161" spans="1:19" ht="12.75">
      <c r="A161" s="28"/>
      <c r="B161" s="29"/>
      <c r="C161" s="30" t="s">
        <v>4</v>
      </c>
      <c r="D161" s="31">
        <f aca="true" t="shared" si="63" ref="D161:K161">D158+D147</f>
        <v>47377.7</v>
      </c>
      <c r="E161" s="31">
        <f t="shared" si="63"/>
        <v>56806.600000000006</v>
      </c>
      <c r="F161" s="31">
        <f t="shared" si="63"/>
        <v>32990.1</v>
      </c>
      <c r="G161" s="31">
        <f t="shared" si="63"/>
        <v>18378.9</v>
      </c>
      <c r="H161" s="31">
        <f t="shared" si="63"/>
        <v>14611.2</v>
      </c>
      <c r="I161" s="31">
        <f t="shared" si="63"/>
        <v>12413.7</v>
      </c>
      <c r="J161" s="31">
        <f t="shared" si="63"/>
        <v>11402.8</v>
      </c>
      <c r="K161" s="31">
        <f t="shared" si="63"/>
        <v>19872.4</v>
      </c>
      <c r="L161" s="34" t="e">
        <f>K161/#REF!*100</f>
        <v>#REF!</v>
      </c>
      <c r="M161" s="34">
        <f>K161/I161*100</f>
        <v>160.08442285539363</v>
      </c>
      <c r="N161" s="57"/>
      <c r="O161" s="58" t="e">
        <f>J161+#REF!+#REF!</f>
        <v>#REF!</v>
      </c>
      <c r="P161" s="43">
        <f t="shared" si="61"/>
        <v>174.27649349282635</v>
      </c>
      <c r="Q161" s="34">
        <f t="shared" si="59"/>
        <v>60.23746517894763</v>
      </c>
      <c r="R161" s="31">
        <f t="shared" si="60"/>
        <v>34.9825548439794</v>
      </c>
      <c r="S161" s="31">
        <f t="shared" si="53"/>
        <v>41.94462795787893</v>
      </c>
    </row>
    <row r="162" spans="1:19" ht="12.75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8"/>
      <c r="N162" s="57"/>
      <c r="O162" s="57"/>
      <c r="P162" s="56"/>
      <c r="Q162" s="34"/>
      <c r="R162" s="31"/>
      <c r="S162" s="25"/>
    </row>
    <row r="163" spans="1:19" ht="12.75">
      <c r="A163" s="87" t="s">
        <v>33</v>
      </c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9"/>
    </row>
    <row r="164" spans="1:19" ht="12.75">
      <c r="A164" s="32" t="s">
        <v>3</v>
      </c>
      <c r="B164" s="32"/>
      <c r="C164" s="33" t="s">
        <v>68</v>
      </c>
      <c r="D164" s="34">
        <f>D165+D168+D169+D170+D172+D173+D174+D171+D166+D167</f>
        <v>6153.8</v>
      </c>
      <c r="E164" s="34">
        <f>E165+E168+E169+E170+E172+E173+E174+E171+E166+E167</f>
        <v>6182.7</v>
      </c>
      <c r="F164" s="34">
        <f aca="true" t="shared" si="64" ref="F164:P164">F165+F168+F169+F170+F172+F173+F174+F171+F166+F167</f>
        <v>2933.9</v>
      </c>
      <c r="G164" s="34">
        <f t="shared" si="64"/>
        <v>1325.8999999999999</v>
      </c>
      <c r="H164" s="34">
        <f t="shared" si="64"/>
        <v>1608</v>
      </c>
      <c r="I164" s="34">
        <f t="shared" si="64"/>
        <v>1413</v>
      </c>
      <c r="J164" s="34">
        <f t="shared" si="64"/>
        <v>1835.8</v>
      </c>
      <c r="K164" s="34">
        <f t="shared" si="64"/>
        <v>2813.1000000000004</v>
      </c>
      <c r="L164" s="34" t="e">
        <f t="shared" si="64"/>
        <v>#REF!</v>
      </c>
      <c r="M164" s="34" t="e">
        <f t="shared" si="64"/>
        <v>#DIV/0!</v>
      </c>
      <c r="N164" s="34">
        <f t="shared" si="64"/>
        <v>0</v>
      </c>
      <c r="O164" s="34">
        <f t="shared" si="64"/>
        <v>0</v>
      </c>
      <c r="P164" s="34" t="e">
        <f t="shared" si="64"/>
        <v>#DIV/0!</v>
      </c>
      <c r="Q164" s="34">
        <f t="shared" si="59"/>
        <v>95.88261358601181</v>
      </c>
      <c r="R164" s="31">
        <f t="shared" si="60"/>
        <v>45.49953903634336</v>
      </c>
      <c r="S164" s="31">
        <f t="shared" si="53"/>
        <v>45.713217849133876</v>
      </c>
    </row>
    <row r="165" spans="1:19" ht="12.75">
      <c r="A165" s="28" t="s">
        <v>23</v>
      </c>
      <c r="B165" s="28"/>
      <c r="C165" s="35" t="s">
        <v>22</v>
      </c>
      <c r="D165" s="60">
        <v>3305</v>
      </c>
      <c r="E165" s="44">
        <f>G165+H165+I165+J165</f>
        <v>3305</v>
      </c>
      <c r="F165" s="66">
        <f aca="true" t="shared" si="65" ref="F165:F177">G165+H165</f>
        <v>1680</v>
      </c>
      <c r="G165" s="60">
        <v>690</v>
      </c>
      <c r="H165" s="60">
        <v>990</v>
      </c>
      <c r="I165" s="24">
        <v>740</v>
      </c>
      <c r="J165" s="25">
        <v>885</v>
      </c>
      <c r="K165" s="25">
        <v>1309.5</v>
      </c>
      <c r="L165" s="27" t="e">
        <f>K165/#REF!*100</f>
        <v>#REF!</v>
      </c>
      <c r="M165" s="27">
        <f aca="true" t="shared" si="66" ref="M165:M173">K165/I165*100</f>
        <v>176.95945945945945</v>
      </c>
      <c r="N165" s="57"/>
      <c r="O165" s="57"/>
      <c r="P165" s="24">
        <f t="shared" si="61"/>
        <v>147.96610169491527</v>
      </c>
      <c r="Q165" s="27">
        <f>K165*100/F165</f>
        <v>77.94642857142857</v>
      </c>
      <c r="R165" s="25">
        <f>K165*100/E165</f>
        <v>39.62178517397882</v>
      </c>
      <c r="S165" s="25">
        <f t="shared" si="53"/>
        <v>39.62178517397882</v>
      </c>
    </row>
    <row r="166" spans="1:19" ht="12.75">
      <c r="A166" s="19" t="s">
        <v>70</v>
      </c>
      <c r="B166" s="19"/>
      <c r="C166" s="35" t="s">
        <v>71</v>
      </c>
      <c r="D166" s="60">
        <v>2147.8</v>
      </c>
      <c r="E166" s="44">
        <f>G166+H166+I166+J166</f>
        <v>2147.8</v>
      </c>
      <c r="F166" s="66">
        <f t="shared" si="65"/>
        <v>965</v>
      </c>
      <c r="G166" s="60">
        <v>482</v>
      </c>
      <c r="H166" s="60">
        <v>483</v>
      </c>
      <c r="I166" s="24">
        <v>543</v>
      </c>
      <c r="J166" s="25">
        <v>639.8</v>
      </c>
      <c r="K166" s="25">
        <v>948.4</v>
      </c>
      <c r="L166" s="27"/>
      <c r="M166" s="27"/>
      <c r="N166" s="57"/>
      <c r="O166" s="57"/>
      <c r="P166" s="24"/>
      <c r="Q166" s="27">
        <f>K166*100/F166</f>
        <v>98.27979274611398</v>
      </c>
      <c r="R166" s="25">
        <f>K166*100/E166</f>
        <v>44.156811621193775</v>
      </c>
      <c r="S166" s="25">
        <f t="shared" si="53"/>
        <v>44.156811621193775</v>
      </c>
    </row>
    <row r="167" spans="1:19" ht="15" customHeight="1">
      <c r="A167" s="19" t="s">
        <v>8</v>
      </c>
      <c r="B167" s="19"/>
      <c r="C167" s="35" t="s">
        <v>5</v>
      </c>
      <c r="D167" s="60"/>
      <c r="E167" s="44">
        <f>G167+H167+I167+J167</f>
        <v>10.8</v>
      </c>
      <c r="F167" s="66">
        <f t="shared" si="65"/>
        <v>10.8</v>
      </c>
      <c r="G167" s="60">
        <v>10.8</v>
      </c>
      <c r="H167" s="60"/>
      <c r="I167" s="24"/>
      <c r="J167" s="25"/>
      <c r="K167" s="25">
        <v>10.8</v>
      </c>
      <c r="L167" s="27"/>
      <c r="M167" s="27"/>
      <c r="N167" s="57"/>
      <c r="O167" s="57"/>
      <c r="P167" s="24"/>
      <c r="Q167" s="27">
        <f>K167*100/F167</f>
        <v>100</v>
      </c>
      <c r="R167" s="25">
        <f>K167*100/E167</f>
        <v>100</v>
      </c>
      <c r="S167" s="25"/>
    </row>
    <row r="168" spans="1:19" ht="12.75">
      <c r="A168" s="19" t="s">
        <v>9</v>
      </c>
      <c r="B168" s="19"/>
      <c r="C168" s="35" t="s">
        <v>6</v>
      </c>
      <c r="D168" s="60">
        <v>502</v>
      </c>
      <c r="E168" s="44">
        <f>G168+H168+I168+J168</f>
        <v>502</v>
      </c>
      <c r="F168" s="66">
        <f t="shared" si="65"/>
        <v>180</v>
      </c>
      <c r="G168" s="60">
        <v>90</v>
      </c>
      <c r="H168" s="60">
        <v>90</v>
      </c>
      <c r="I168" s="24">
        <v>90</v>
      </c>
      <c r="J168" s="25">
        <v>232</v>
      </c>
      <c r="K168" s="25">
        <v>260.3</v>
      </c>
      <c r="L168" s="27" t="e">
        <f>K168/#REF!*100</f>
        <v>#REF!</v>
      </c>
      <c r="M168" s="27">
        <f t="shared" si="66"/>
        <v>289.22222222222223</v>
      </c>
      <c r="N168" s="57"/>
      <c r="O168" s="57"/>
      <c r="P168" s="24">
        <f t="shared" si="61"/>
        <v>112.19827586206897</v>
      </c>
      <c r="Q168" s="27">
        <f t="shared" si="59"/>
        <v>144.61111111111111</v>
      </c>
      <c r="R168" s="25">
        <f t="shared" si="60"/>
        <v>51.852589641434264</v>
      </c>
      <c r="S168" s="25">
        <f t="shared" si="53"/>
        <v>51.852589641434264</v>
      </c>
    </row>
    <row r="169" spans="1:19" ht="12.75">
      <c r="A169" s="19" t="s">
        <v>10</v>
      </c>
      <c r="B169" s="19"/>
      <c r="C169" s="35" t="s">
        <v>21</v>
      </c>
      <c r="D169" s="60">
        <v>35</v>
      </c>
      <c r="E169" s="44">
        <f aca="true" t="shared" si="67" ref="E169:E176">G169+H169+I169+J169</f>
        <v>35</v>
      </c>
      <c r="F169" s="66">
        <f t="shared" si="65"/>
        <v>11</v>
      </c>
      <c r="G169" s="60">
        <v>3</v>
      </c>
      <c r="H169" s="60">
        <v>8</v>
      </c>
      <c r="I169" s="24">
        <v>8</v>
      </c>
      <c r="J169" s="25">
        <v>16</v>
      </c>
      <c r="K169" s="25">
        <v>10.4</v>
      </c>
      <c r="L169" s="27" t="e">
        <f>K169/#REF!*100</f>
        <v>#REF!</v>
      </c>
      <c r="M169" s="27">
        <f t="shared" si="66"/>
        <v>130</v>
      </c>
      <c r="N169" s="57"/>
      <c r="O169" s="57"/>
      <c r="P169" s="24">
        <f t="shared" si="61"/>
        <v>65</v>
      </c>
      <c r="Q169" s="27">
        <f t="shared" si="59"/>
        <v>94.54545454545455</v>
      </c>
      <c r="R169" s="25">
        <f t="shared" si="60"/>
        <v>29.714285714285715</v>
      </c>
      <c r="S169" s="25">
        <f t="shared" si="53"/>
        <v>29.714285714285715</v>
      </c>
    </row>
    <row r="170" spans="1:19" ht="24">
      <c r="A170" s="20" t="s">
        <v>11</v>
      </c>
      <c r="B170" s="20"/>
      <c r="C170" s="35" t="s">
        <v>17</v>
      </c>
      <c r="D170" s="60">
        <v>69</v>
      </c>
      <c r="E170" s="44">
        <f t="shared" si="67"/>
        <v>79</v>
      </c>
      <c r="F170" s="66">
        <f t="shared" si="65"/>
        <v>39</v>
      </c>
      <c r="G170" s="60">
        <f>12+10</f>
        <v>22</v>
      </c>
      <c r="H170" s="60">
        <v>17</v>
      </c>
      <c r="I170" s="24">
        <v>12</v>
      </c>
      <c r="J170" s="25">
        <v>28</v>
      </c>
      <c r="K170" s="25">
        <v>206.4</v>
      </c>
      <c r="L170" s="27" t="e">
        <f>K170/#REF!*100</f>
        <v>#REF!</v>
      </c>
      <c r="M170" s="27">
        <f t="shared" si="66"/>
        <v>1720</v>
      </c>
      <c r="N170" s="57"/>
      <c r="O170" s="57"/>
      <c r="P170" s="24">
        <f t="shared" si="61"/>
        <v>737.1428571428571</v>
      </c>
      <c r="Q170" s="27">
        <f t="shared" si="59"/>
        <v>529.2307692307693</v>
      </c>
      <c r="R170" s="25">
        <f t="shared" si="60"/>
        <v>261.26582278481015</v>
      </c>
      <c r="S170" s="25">
        <f t="shared" si="53"/>
        <v>299.1304347826087</v>
      </c>
    </row>
    <row r="171" spans="1:19" ht="12.75">
      <c r="A171" s="37" t="s">
        <v>42</v>
      </c>
      <c r="B171" s="37"/>
      <c r="C171" s="35" t="s">
        <v>43</v>
      </c>
      <c r="D171" s="60">
        <v>95</v>
      </c>
      <c r="E171" s="44">
        <f t="shared" si="67"/>
        <v>95</v>
      </c>
      <c r="F171" s="66">
        <f t="shared" si="65"/>
        <v>40</v>
      </c>
      <c r="G171" s="60">
        <v>20</v>
      </c>
      <c r="H171" s="60">
        <v>20</v>
      </c>
      <c r="I171" s="24">
        <v>20</v>
      </c>
      <c r="J171" s="25">
        <v>35</v>
      </c>
      <c r="K171" s="25">
        <v>43</v>
      </c>
      <c r="L171" s="27" t="e">
        <f>K171/#REF!*100</f>
        <v>#REF!</v>
      </c>
      <c r="M171" s="27">
        <f t="shared" si="66"/>
        <v>215</v>
      </c>
      <c r="N171" s="57"/>
      <c r="O171" s="57"/>
      <c r="P171" s="24">
        <f t="shared" si="61"/>
        <v>122.85714285714286</v>
      </c>
      <c r="Q171" s="27">
        <f t="shared" si="59"/>
        <v>107.5</v>
      </c>
      <c r="R171" s="25">
        <f t="shared" si="60"/>
        <v>45.26315789473684</v>
      </c>
      <c r="S171" s="25">
        <f t="shared" si="53"/>
        <v>45.26315789473684</v>
      </c>
    </row>
    <row r="172" spans="1:19" ht="12.75" hidden="1">
      <c r="A172" s="36" t="s">
        <v>18</v>
      </c>
      <c r="B172" s="36"/>
      <c r="C172" s="35" t="s">
        <v>15</v>
      </c>
      <c r="D172" s="60"/>
      <c r="E172" s="44">
        <f t="shared" si="67"/>
        <v>0</v>
      </c>
      <c r="F172" s="66">
        <f t="shared" si="65"/>
        <v>0</v>
      </c>
      <c r="G172" s="60"/>
      <c r="H172" s="60"/>
      <c r="I172" s="24"/>
      <c r="J172" s="25"/>
      <c r="K172" s="25"/>
      <c r="L172" s="27" t="e">
        <f>K172/#REF!*100</f>
        <v>#REF!</v>
      </c>
      <c r="M172" s="27" t="e">
        <f t="shared" si="66"/>
        <v>#DIV/0!</v>
      </c>
      <c r="N172" s="57"/>
      <c r="O172" s="57"/>
      <c r="P172" s="24" t="e">
        <f t="shared" si="61"/>
        <v>#DIV/0!</v>
      </c>
      <c r="Q172" s="27"/>
      <c r="R172" s="25"/>
      <c r="S172" s="25" t="e">
        <f t="shared" si="53"/>
        <v>#DIV/0!</v>
      </c>
    </row>
    <row r="173" spans="1:19" ht="17.25" customHeight="1">
      <c r="A173" s="28" t="s">
        <v>12</v>
      </c>
      <c r="B173" s="28"/>
      <c r="C173" s="35" t="s">
        <v>7</v>
      </c>
      <c r="D173" s="60"/>
      <c r="E173" s="44">
        <f t="shared" si="67"/>
        <v>8.1</v>
      </c>
      <c r="F173" s="66">
        <f t="shared" si="65"/>
        <v>8.1</v>
      </c>
      <c r="G173" s="60">
        <v>8.1</v>
      </c>
      <c r="H173" s="60"/>
      <c r="I173" s="24"/>
      <c r="J173" s="25"/>
      <c r="K173" s="25">
        <v>24.3</v>
      </c>
      <c r="L173" s="27"/>
      <c r="M173" s="27" t="e">
        <f t="shared" si="66"/>
        <v>#DIV/0!</v>
      </c>
      <c r="N173" s="57"/>
      <c r="O173" s="57"/>
      <c r="P173" s="24" t="e">
        <f t="shared" si="61"/>
        <v>#DIV/0!</v>
      </c>
      <c r="Q173" s="34"/>
      <c r="R173" s="31"/>
      <c r="S173" s="25"/>
    </row>
    <row r="174" spans="1:19" ht="14.25" customHeight="1">
      <c r="A174" s="72" t="s">
        <v>39</v>
      </c>
      <c r="B174" s="68"/>
      <c r="C174" s="23" t="s">
        <v>40</v>
      </c>
      <c r="D174" s="60"/>
      <c r="E174" s="44">
        <f t="shared" si="67"/>
        <v>0</v>
      </c>
      <c r="F174" s="66">
        <f t="shared" si="65"/>
        <v>0</v>
      </c>
      <c r="G174" s="60"/>
      <c r="H174" s="60"/>
      <c r="I174" s="24"/>
      <c r="J174" s="25"/>
      <c r="K174" s="25"/>
      <c r="L174" s="27"/>
      <c r="M174" s="27"/>
      <c r="N174" s="57"/>
      <c r="O174" s="57"/>
      <c r="P174" s="24" t="e">
        <f t="shared" si="61"/>
        <v>#DIV/0!</v>
      </c>
      <c r="Q174" s="34"/>
      <c r="R174" s="31"/>
      <c r="S174" s="25"/>
    </row>
    <row r="175" spans="1:19" ht="12.75">
      <c r="A175" s="32" t="s">
        <v>1</v>
      </c>
      <c r="B175" s="32"/>
      <c r="C175" s="39" t="s">
        <v>0</v>
      </c>
      <c r="D175" s="40">
        <f aca="true" t="shared" si="68" ref="D175:K175">D176+D177</f>
        <v>23711.2</v>
      </c>
      <c r="E175" s="40">
        <f t="shared" si="68"/>
        <v>48615</v>
      </c>
      <c r="F175" s="81">
        <f t="shared" si="68"/>
        <v>38447.100000000006</v>
      </c>
      <c r="G175" s="81">
        <f t="shared" si="68"/>
        <v>11444.900000000001</v>
      </c>
      <c r="H175" s="81">
        <f t="shared" si="68"/>
        <v>27002.2</v>
      </c>
      <c r="I175" s="40">
        <f t="shared" si="68"/>
        <v>7555.4</v>
      </c>
      <c r="J175" s="40">
        <f t="shared" si="68"/>
        <v>2612.5</v>
      </c>
      <c r="K175" s="40">
        <f t="shared" si="68"/>
        <v>12170.3</v>
      </c>
      <c r="L175" s="34" t="e">
        <f>K175/#REF!*100</f>
        <v>#REF!</v>
      </c>
      <c r="M175" s="34">
        <f>K175/I175*100</f>
        <v>161.0808163697488</v>
      </c>
      <c r="N175" s="57"/>
      <c r="O175" s="57"/>
      <c r="P175" s="43">
        <f t="shared" si="61"/>
        <v>465.84880382775117</v>
      </c>
      <c r="Q175" s="34">
        <f t="shared" si="59"/>
        <v>31.654663160550466</v>
      </c>
      <c r="R175" s="31">
        <f t="shared" si="60"/>
        <v>25.034042990846448</v>
      </c>
      <c r="S175" s="31">
        <f t="shared" si="53"/>
        <v>51.3272208913931</v>
      </c>
    </row>
    <row r="176" spans="1:19" ht="24">
      <c r="A176" s="21" t="s">
        <v>67</v>
      </c>
      <c r="B176" s="19"/>
      <c r="C176" s="41" t="s">
        <v>20</v>
      </c>
      <c r="D176" s="44">
        <v>23711.2</v>
      </c>
      <c r="E176" s="44">
        <f t="shared" si="67"/>
        <v>28615</v>
      </c>
      <c r="F176" s="66">
        <f t="shared" si="65"/>
        <v>18447.100000000002</v>
      </c>
      <c r="G176" s="60">
        <f>11398.7+46.2</f>
        <v>11444.900000000001</v>
      </c>
      <c r="H176" s="60">
        <f>6956.3+45.9</f>
        <v>7002.2</v>
      </c>
      <c r="I176" s="24">
        <v>7555.4</v>
      </c>
      <c r="J176" s="25">
        <v>2612.5</v>
      </c>
      <c r="K176" s="25">
        <v>12170.3</v>
      </c>
      <c r="L176" s="27" t="e">
        <f>K176/#REF!*100</f>
        <v>#REF!</v>
      </c>
      <c r="M176" s="27">
        <f>K176/I176*100</f>
        <v>161.0808163697488</v>
      </c>
      <c r="N176" s="57"/>
      <c r="O176" s="57"/>
      <c r="P176" s="24">
        <f t="shared" si="61"/>
        <v>465.84880382775117</v>
      </c>
      <c r="Q176" s="27">
        <f t="shared" si="59"/>
        <v>65.97405554260561</v>
      </c>
      <c r="R176" s="25">
        <f t="shared" si="60"/>
        <v>42.53118993534859</v>
      </c>
      <c r="S176" s="25">
        <f t="shared" si="53"/>
        <v>51.3272208913931</v>
      </c>
    </row>
    <row r="177" spans="1:19" ht="15.75" customHeight="1">
      <c r="A177" s="21" t="s">
        <v>2</v>
      </c>
      <c r="B177" s="21"/>
      <c r="C177" s="42" t="s">
        <v>19</v>
      </c>
      <c r="D177" s="69"/>
      <c r="E177" s="44">
        <f>G177+H177+I177+J177</f>
        <v>20000</v>
      </c>
      <c r="F177" s="66">
        <f t="shared" si="65"/>
        <v>20000</v>
      </c>
      <c r="G177" s="69"/>
      <c r="H177" s="69">
        <v>20000</v>
      </c>
      <c r="I177" s="24"/>
      <c r="J177" s="25"/>
      <c r="K177" s="25"/>
      <c r="L177" s="27" t="e">
        <f>K177/#REF!*100</f>
        <v>#REF!</v>
      </c>
      <c r="M177" s="27"/>
      <c r="N177" s="57"/>
      <c r="O177" s="57"/>
      <c r="P177" s="24" t="e">
        <f t="shared" si="61"/>
        <v>#DIV/0!</v>
      </c>
      <c r="Q177" s="27"/>
      <c r="R177" s="25"/>
      <c r="S177" s="25"/>
    </row>
    <row r="178" spans="1:19" ht="12.75">
      <c r="A178" s="28"/>
      <c r="B178" s="29"/>
      <c r="C178" s="30" t="s">
        <v>4</v>
      </c>
      <c r="D178" s="31">
        <f aca="true" t="shared" si="69" ref="D178:K178">D175+D164</f>
        <v>29865</v>
      </c>
      <c r="E178" s="31">
        <f t="shared" si="69"/>
        <v>54797.7</v>
      </c>
      <c r="F178" s="31">
        <f t="shared" si="69"/>
        <v>41381.00000000001</v>
      </c>
      <c r="G178" s="31">
        <f t="shared" si="69"/>
        <v>12770.800000000001</v>
      </c>
      <c r="H178" s="31">
        <f t="shared" si="69"/>
        <v>28610.2</v>
      </c>
      <c r="I178" s="31">
        <f t="shared" si="69"/>
        <v>8968.4</v>
      </c>
      <c r="J178" s="31">
        <f t="shared" si="69"/>
        <v>4448.3</v>
      </c>
      <c r="K178" s="31">
        <f t="shared" si="69"/>
        <v>14983.4</v>
      </c>
      <c r="L178" s="34" t="e">
        <f>K178/#REF!*100</f>
        <v>#REF!</v>
      </c>
      <c r="M178" s="34">
        <f>K178/I178*100</f>
        <v>167.0688194103742</v>
      </c>
      <c r="N178" s="57"/>
      <c r="O178" s="58" t="e">
        <f>J178+#REF!+#REF!</f>
        <v>#REF!</v>
      </c>
      <c r="P178" s="43">
        <f t="shared" si="61"/>
        <v>336.8342962480048</v>
      </c>
      <c r="Q178" s="34">
        <f t="shared" si="59"/>
        <v>36.2084048234697</v>
      </c>
      <c r="R178" s="31">
        <f t="shared" si="60"/>
        <v>27.34311841555394</v>
      </c>
      <c r="S178" s="31">
        <f t="shared" si="53"/>
        <v>50.17043361794743</v>
      </c>
    </row>
    <row r="179" spans="1:19" ht="12.7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8"/>
      <c r="N179" s="57"/>
      <c r="O179" s="57"/>
      <c r="P179" s="56"/>
      <c r="Q179" s="34"/>
      <c r="R179" s="31"/>
      <c r="S179" s="25"/>
    </row>
    <row r="180" spans="1:19" ht="12.75">
      <c r="A180" s="87" t="s">
        <v>34</v>
      </c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9"/>
    </row>
    <row r="181" spans="1:19" ht="12.75">
      <c r="A181" s="32" t="s">
        <v>3</v>
      </c>
      <c r="B181" s="32"/>
      <c r="C181" s="33" t="s">
        <v>68</v>
      </c>
      <c r="D181" s="34">
        <f aca="true" t="shared" si="70" ref="D181:J181">D182+D184+D185+D186+D187+D189+D191+D190+D188+D183</f>
        <v>22444.4</v>
      </c>
      <c r="E181" s="34">
        <f t="shared" si="70"/>
        <v>22444.4</v>
      </c>
      <c r="F181" s="34">
        <f t="shared" si="70"/>
        <v>10500</v>
      </c>
      <c r="G181" s="34">
        <f t="shared" si="70"/>
        <v>5212</v>
      </c>
      <c r="H181" s="34">
        <f t="shared" si="70"/>
        <v>5288</v>
      </c>
      <c r="I181" s="34">
        <f t="shared" si="70"/>
        <v>5284</v>
      </c>
      <c r="J181" s="34">
        <f t="shared" si="70"/>
        <v>6660.4</v>
      </c>
      <c r="K181" s="34">
        <f>K182+K184+K185+K186+K187+K189+K191+K190+K188+K183-0.1</f>
        <v>10108.1</v>
      </c>
      <c r="L181" s="34" t="e">
        <f>K181/#REF!*100</f>
        <v>#REF!</v>
      </c>
      <c r="M181" s="34">
        <f>K181/I181*100</f>
        <v>191.29636638909918</v>
      </c>
      <c r="N181" s="57"/>
      <c r="O181" s="57"/>
      <c r="P181" s="34">
        <f t="shared" si="61"/>
        <v>151.7641583088103</v>
      </c>
      <c r="Q181" s="34">
        <f t="shared" si="59"/>
        <v>96.26761904761905</v>
      </c>
      <c r="R181" s="31">
        <f t="shared" si="60"/>
        <v>45.03617828946196</v>
      </c>
      <c r="S181" s="31">
        <f t="shared" si="53"/>
        <v>45.03617828946196</v>
      </c>
    </row>
    <row r="182" spans="1:19" ht="12.75">
      <c r="A182" s="28" t="s">
        <v>23</v>
      </c>
      <c r="B182" s="28"/>
      <c r="C182" s="35" t="s">
        <v>22</v>
      </c>
      <c r="D182" s="60">
        <v>16400</v>
      </c>
      <c r="E182" s="44">
        <f>G182+H182+I182+J182</f>
        <v>16400</v>
      </c>
      <c r="F182" s="66">
        <f aca="true" t="shared" si="71" ref="F182:F193">G182+H182</f>
        <v>7925</v>
      </c>
      <c r="G182" s="44">
        <v>3760</v>
      </c>
      <c r="H182" s="44">
        <v>4165</v>
      </c>
      <c r="I182" s="24">
        <v>4175</v>
      </c>
      <c r="J182" s="25">
        <v>4300</v>
      </c>
      <c r="K182" s="25">
        <v>7428</v>
      </c>
      <c r="L182" s="27" t="e">
        <f>K182/#REF!*100</f>
        <v>#REF!</v>
      </c>
      <c r="M182" s="27">
        <f>K182/I182*100</f>
        <v>177.91616766467067</v>
      </c>
      <c r="N182" s="57"/>
      <c r="O182" s="57"/>
      <c r="P182" s="24">
        <f t="shared" si="61"/>
        <v>172.74418604651163</v>
      </c>
      <c r="Q182" s="27">
        <f t="shared" si="59"/>
        <v>93.72870662460568</v>
      </c>
      <c r="R182" s="25">
        <f t="shared" si="60"/>
        <v>45.292682926829265</v>
      </c>
      <c r="S182" s="25">
        <f t="shared" si="53"/>
        <v>45.292682926829265</v>
      </c>
    </row>
    <row r="183" spans="1:19" ht="12.75">
      <c r="A183" s="19" t="s">
        <v>70</v>
      </c>
      <c r="B183" s="19"/>
      <c r="C183" s="35" t="s">
        <v>71</v>
      </c>
      <c r="D183" s="60">
        <v>2714.4</v>
      </c>
      <c r="E183" s="44">
        <f>G183+H183+I183+J183</f>
        <v>2714.4</v>
      </c>
      <c r="F183" s="66">
        <f t="shared" si="71"/>
        <v>1348</v>
      </c>
      <c r="G183" s="44">
        <v>673</v>
      </c>
      <c r="H183" s="44">
        <v>675</v>
      </c>
      <c r="I183" s="24">
        <v>675</v>
      </c>
      <c r="J183" s="25">
        <v>691.4</v>
      </c>
      <c r="K183" s="25">
        <v>1198.6</v>
      </c>
      <c r="L183" s="27"/>
      <c r="M183" s="27"/>
      <c r="N183" s="57"/>
      <c r="O183" s="57"/>
      <c r="P183" s="24"/>
      <c r="Q183" s="27">
        <f>K183*100/F183</f>
        <v>88.91691394658753</v>
      </c>
      <c r="R183" s="25">
        <f>K183*100/E183</f>
        <v>44.15708812260536</v>
      </c>
      <c r="S183" s="25">
        <f t="shared" si="53"/>
        <v>44.15708812260536</v>
      </c>
    </row>
    <row r="184" spans="1:19" ht="13.5" customHeight="1" hidden="1">
      <c r="A184" s="19" t="s">
        <v>8</v>
      </c>
      <c r="B184" s="19"/>
      <c r="C184" s="35" t="s">
        <v>5</v>
      </c>
      <c r="D184" s="60"/>
      <c r="E184" s="44">
        <f aca="true" t="shared" si="72" ref="E184:E193">G184+H184+I184+J184</f>
        <v>0</v>
      </c>
      <c r="F184" s="66">
        <f t="shared" si="71"/>
        <v>0</v>
      </c>
      <c r="G184" s="44"/>
      <c r="H184" s="44"/>
      <c r="I184" s="24"/>
      <c r="J184" s="25"/>
      <c r="K184" s="25"/>
      <c r="L184" s="27"/>
      <c r="M184" s="27"/>
      <c r="N184" s="57"/>
      <c r="O184" s="57"/>
      <c r="P184" s="24" t="e">
        <f t="shared" si="61"/>
        <v>#DIV/0!</v>
      </c>
      <c r="Q184" s="27" t="e">
        <f>K184*100/F184</f>
        <v>#DIV/0!</v>
      </c>
      <c r="R184" s="25" t="e">
        <f>K184*100/E184</f>
        <v>#DIV/0!</v>
      </c>
      <c r="S184" s="25" t="e">
        <f t="shared" si="53"/>
        <v>#DIV/0!</v>
      </c>
    </row>
    <row r="185" spans="1:19" ht="12.75">
      <c r="A185" s="19" t="s">
        <v>9</v>
      </c>
      <c r="B185" s="19"/>
      <c r="C185" s="35" t="s">
        <v>6</v>
      </c>
      <c r="D185" s="60">
        <v>2320</v>
      </c>
      <c r="E185" s="44">
        <f t="shared" si="72"/>
        <v>2320</v>
      </c>
      <c r="F185" s="66">
        <f t="shared" si="71"/>
        <v>797</v>
      </c>
      <c r="G185" s="44">
        <v>532</v>
      </c>
      <c r="H185" s="44">
        <v>265</v>
      </c>
      <c r="I185" s="24">
        <v>265</v>
      </c>
      <c r="J185" s="25">
        <v>1258</v>
      </c>
      <c r="K185" s="25">
        <v>951.6</v>
      </c>
      <c r="L185" s="27" t="e">
        <f>K185/#REF!*100</f>
        <v>#REF!</v>
      </c>
      <c r="M185" s="27">
        <f>K185/I185*100</f>
        <v>359.0943396226415</v>
      </c>
      <c r="N185" s="57"/>
      <c r="O185" s="57"/>
      <c r="P185" s="24">
        <f t="shared" si="61"/>
        <v>75.64387917329094</v>
      </c>
      <c r="Q185" s="27">
        <f t="shared" si="59"/>
        <v>119.39774153074028</v>
      </c>
      <c r="R185" s="25">
        <f t="shared" si="60"/>
        <v>41.01724137931034</v>
      </c>
      <c r="S185" s="25">
        <f t="shared" si="53"/>
        <v>41.01724137931034</v>
      </c>
    </row>
    <row r="186" spans="1:19" ht="12.75">
      <c r="A186" s="19" t="s">
        <v>10</v>
      </c>
      <c r="B186" s="19"/>
      <c r="C186" s="35" t="s">
        <v>21</v>
      </c>
      <c r="D186" s="60">
        <v>156</v>
      </c>
      <c r="E186" s="44">
        <f t="shared" si="72"/>
        <v>156</v>
      </c>
      <c r="F186" s="66">
        <f t="shared" si="71"/>
        <v>84</v>
      </c>
      <c r="G186" s="44">
        <v>42</v>
      </c>
      <c r="H186" s="44">
        <v>42</v>
      </c>
      <c r="I186" s="24">
        <v>28</v>
      </c>
      <c r="J186" s="25">
        <v>44</v>
      </c>
      <c r="K186" s="25">
        <v>107.1</v>
      </c>
      <c r="L186" s="27" t="e">
        <f>K186/#REF!*100</f>
        <v>#REF!</v>
      </c>
      <c r="M186" s="27">
        <f>K186/I186*100</f>
        <v>382.5</v>
      </c>
      <c r="N186" s="57"/>
      <c r="O186" s="57"/>
      <c r="P186" s="24">
        <f t="shared" si="61"/>
        <v>243.4090909090909</v>
      </c>
      <c r="Q186" s="27">
        <f t="shared" si="59"/>
        <v>127.5</v>
      </c>
      <c r="R186" s="25">
        <f t="shared" si="60"/>
        <v>68.65384615384616</v>
      </c>
      <c r="S186" s="25">
        <f t="shared" si="53"/>
        <v>68.65384615384616</v>
      </c>
    </row>
    <row r="187" spans="1:19" ht="24">
      <c r="A187" s="20" t="s">
        <v>11</v>
      </c>
      <c r="B187" s="20"/>
      <c r="C187" s="35" t="s">
        <v>17</v>
      </c>
      <c r="D187" s="60">
        <v>694</v>
      </c>
      <c r="E187" s="44">
        <f t="shared" si="72"/>
        <v>663.2</v>
      </c>
      <c r="F187" s="66">
        <f t="shared" si="71"/>
        <v>243.2</v>
      </c>
      <c r="G187" s="44">
        <f>169-30.8</f>
        <v>138.2</v>
      </c>
      <c r="H187" s="44">
        <v>105</v>
      </c>
      <c r="I187" s="24">
        <v>105</v>
      </c>
      <c r="J187" s="25">
        <v>315</v>
      </c>
      <c r="K187" s="25">
        <v>335</v>
      </c>
      <c r="L187" s="27" t="e">
        <f>K187/#REF!*100</f>
        <v>#REF!</v>
      </c>
      <c r="M187" s="27">
        <f>K187/I187*100</f>
        <v>319.0476190476191</v>
      </c>
      <c r="N187" s="57"/>
      <c r="O187" s="57"/>
      <c r="P187" s="24">
        <f t="shared" si="61"/>
        <v>106.34920634920636</v>
      </c>
      <c r="Q187" s="27">
        <f t="shared" si="59"/>
        <v>137.7467105263158</v>
      </c>
      <c r="R187" s="25">
        <f t="shared" si="60"/>
        <v>50.512665862484916</v>
      </c>
      <c r="S187" s="25">
        <f t="shared" si="53"/>
        <v>48.27089337175793</v>
      </c>
    </row>
    <row r="188" spans="1:19" ht="12.75">
      <c r="A188" s="36" t="s">
        <v>42</v>
      </c>
      <c r="B188" s="37"/>
      <c r="C188" s="35" t="s">
        <v>43</v>
      </c>
      <c r="D188" s="60">
        <v>160</v>
      </c>
      <c r="E188" s="44">
        <f t="shared" si="72"/>
        <v>190.8</v>
      </c>
      <c r="F188" s="66">
        <f t="shared" si="71"/>
        <v>102.8</v>
      </c>
      <c r="G188" s="44">
        <f>36+30.8</f>
        <v>66.8</v>
      </c>
      <c r="H188" s="44">
        <v>36</v>
      </c>
      <c r="I188" s="24">
        <v>36</v>
      </c>
      <c r="J188" s="25">
        <v>52</v>
      </c>
      <c r="K188" s="25">
        <v>87.9</v>
      </c>
      <c r="L188" s="27" t="e">
        <f>K188/#REF!*100</f>
        <v>#REF!</v>
      </c>
      <c r="M188" s="27">
        <f>K188/I188*100</f>
        <v>244.16666666666669</v>
      </c>
      <c r="N188" s="57"/>
      <c r="O188" s="57"/>
      <c r="P188" s="24">
        <f t="shared" si="61"/>
        <v>169.03846153846155</v>
      </c>
      <c r="Q188" s="27">
        <f t="shared" si="59"/>
        <v>85.50583657587549</v>
      </c>
      <c r="R188" s="25">
        <f t="shared" si="60"/>
        <v>46.069182389937104</v>
      </c>
      <c r="S188" s="25">
        <f t="shared" si="53"/>
        <v>54.9375</v>
      </c>
    </row>
    <row r="189" spans="1:19" ht="12.75" hidden="1">
      <c r="A189" s="36" t="s">
        <v>18</v>
      </c>
      <c r="B189" s="37"/>
      <c r="C189" s="35" t="s">
        <v>15</v>
      </c>
      <c r="D189" s="60"/>
      <c r="E189" s="44">
        <f t="shared" si="72"/>
        <v>0</v>
      </c>
      <c r="F189" s="66">
        <f t="shared" si="71"/>
        <v>0</v>
      </c>
      <c r="G189" s="44"/>
      <c r="H189" s="44"/>
      <c r="I189" s="24"/>
      <c r="J189" s="25"/>
      <c r="K189" s="25"/>
      <c r="L189" s="27" t="e">
        <f>K189/#REF!*100</f>
        <v>#REF!</v>
      </c>
      <c r="M189" s="27" t="e">
        <f>K189/I189*100</f>
        <v>#DIV/0!</v>
      </c>
      <c r="N189" s="57"/>
      <c r="O189" s="57"/>
      <c r="P189" s="24" t="e">
        <f t="shared" si="61"/>
        <v>#DIV/0!</v>
      </c>
      <c r="Q189" s="27"/>
      <c r="R189" s="25"/>
      <c r="S189" s="25" t="e">
        <f t="shared" si="53"/>
        <v>#DIV/0!</v>
      </c>
    </row>
    <row r="190" spans="1:19" ht="12.75" hidden="1">
      <c r="A190" s="28" t="s">
        <v>12</v>
      </c>
      <c r="B190" s="28"/>
      <c r="C190" s="35" t="s">
        <v>7</v>
      </c>
      <c r="D190" s="60"/>
      <c r="E190" s="44">
        <f t="shared" si="72"/>
        <v>0</v>
      </c>
      <c r="F190" s="66">
        <f t="shared" si="71"/>
        <v>0</v>
      </c>
      <c r="G190" s="44"/>
      <c r="H190" s="44"/>
      <c r="I190" s="24"/>
      <c r="J190" s="25"/>
      <c r="K190" s="25"/>
      <c r="L190" s="27" t="e">
        <f>K190/#REF!*100</f>
        <v>#REF!</v>
      </c>
      <c r="M190" s="27"/>
      <c r="N190" s="57"/>
      <c r="O190" s="57"/>
      <c r="P190" s="24" t="e">
        <f t="shared" si="61"/>
        <v>#DIV/0!</v>
      </c>
      <c r="Q190" s="27"/>
      <c r="R190" s="25"/>
      <c r="S190" s="25" t="e">
        <f t="shared" si="53"/>
        <v>#DIV/0!</v>
      </c>
    </row>
    <row r="191" spans="1:19" ht="15" customHeight="1">
      <c r="A191" s="72" t="s">
        <v>39</v>
      </c>
      <c r="B191" s="68"/>
      <c r="C191" s="23" t="s">
        <v>40</v>
      </c>
      <c r="D191" s="60"/>
      <c r="E191" s="44">
        <f t="shared" si="72"/>
        <v>0</v>
      </c>
      <c r="F191" s="66">
        <f t="shared" si="71"/>
        <v>0</v>
      </c>
      <c r="G191" s="83"/>
      <c r="H191" s="83"/>
      <c r="I191" s="24"/>
      <c r="J191" s="25"/>
      <c r="K191" s="25"/>
      <c r="L191" s="27" t="e">
        <f>K191/#REF!*100</f>
        <v>#REF!</v>
      </c>
      <c r="M191" s="27"/>
      <c r="N191" s="57"/>
      <c r="O191" s="57"/>
      <c r="P191" s="24" t="e">
        <f t="shared" si="61"/>
        <v>#DIV/0!</v>
      </c>
      <c r="Q191" s="34"/>
      <c r="R191" s="31"/>
      <c r="S191" s="25"/>
    </row>
    <row r="192" spans="1:19" ht="12.75">
      <c r="A192" s="62" t="s">
        <v>1</v>
      </c>
      <c r="B192" s="32"/>
      <c r="C192" s="39" t="s">
        <v>0</v>
      </c>
      <c r="D192" s="43">
        <f aca="true" t="shared" si="73" ref="D192:K192">D193</f>
        <v>28036.5</v>
      </c>
      <c r="E192" s="43">
        <f t="shared" si="73"/>
        <v>39463.8</v>
      </c>
      <c r="F192" s="43">
        <f t="shared" si="73"/>
        <v>25242</v>
      </c>
      <c r="G192" s="43">
        <f t="shared" si="73"/>
        <v>16568.3</v>
      </c>
      <c r="H192" s="43">
        <f t="shared" si="73"/>
        <v>8673.7</v>
      </c>
      <c r="I192" s="43">
        <f t="shared" si="73"/>
        <v>7523.8</v>
      </c>
      <c r="J192" s="43">
        <f t="shared" si="73"/>
        <v>6698</v>
      </c>
      <c r="K192" s="43">
        <f t="shared" si="73"/>
        <v>12948</v>
      </c>
      <c r="L192" s="34" t="e">
        <f>K192/#REF!*100</f>
        <v>#REF!</v>
      </c>
      <c r="M192" s="34">
        <f>K192/I192*100</f>
        <v>172.09388872644143</v>
      </c>
      <c r="N192" s="57"/>
      <c r="O192" s="57"/>
      <c r="P192" s="43">
        <f t="shared" si="61"/>
        <v>193.31143624962675</v>
      </c>
      <c r="Q192" s="34">
        <f t="shared" si="59"/>
        <v>51.295459947706206</v>
      </c>
      <c r="R192" s="31">
        <f t="shared" si="60"/>
        <v>32.809815577820686</v>
      </c>
      <c r="S192" s="31">
        <f t="shared" si="53"/>
        <v>46.18265475362474</v>
      </c>
    </row>
    <row r="193" spans="1:19" ht="24">
      <c r="A193" s="84" t="s">
        <v>67</v>
      </c>
      <c r="B193" s="19"/>
      <c r="C193" s="41" t="s">
        <v>20</v>
      </c>
      <c r="D193" s="44">
        <v>28036.5</v>
      </c>
      <c r="E193" s="44">
        <f t="shared" si="72"/>
        <v>39463.8</v>
      </c>
      <c r="F193" s="66">
        <f t="shared" si="71"/>
        <v>25242</v>
      </c>
      <c r="G193" s="44">
        <f>16161.6+406.7</f>
        <v>16568.3</v>
      </c>
      <c r="H193" s="44">
        <f>6764.1+1909.6</f>
        <v>8673.7</v>
      </c>
      <c r="I193" s="24">
        <v>7523.8</v>
      </c>
      <c r="J193" s="25">
        <v>6698</v>
      </c>
      <c r="K193" s="25">
        <v>12948</v>
      </c>
      <c r="L193" s="27" t="e">
        <f>K193/#REF!*100</f>
        <v>#REF!</v>
      </c>
      <c r="M193" s="27">
        <f>K193/I193*100</f>
        <v>172.09388872644143</v>
      </c>
      <c r="N193" s="57"/>
      <c r="O193" s="57"/>
      <c r="P193" s="24">
        <f t="shared" si="61"/>
        <v>193.31143624962675</v>
      </c>
      <c r="Q193" s="27">
        <f t="shared" si="59"/>
        <v>51.295459947706206</v>
      </c>
      <c r="R193" s="25">
        <f t="shared" si="60"/>
        <v>32.809815577820686</v>
      </c>
      <c r="S193" s="25">
        <f t="shared" si="53"/>
        <v>46.18265475362474</v>
      </c>
    </row>
    <row r="194" spans="1:19" ht="12.75">
      <c r="A194" s="28"/>
      <c r="B194" s="29"/>
      <c r="C194" s="30" t="s">
        <v>4</v>
      </c>
      <c r="D194" s="31">
        <f aca="true" t="shared" si="74" ref="D194:K194">D192+D181</f>
        <v>50480.9</v>
      </c>
      <c r="E194" s="31">
        <f t="shared" si="74"/>
        <v>61908.200000000004</v>
      </c>
      <c r="F194" s="31">
        <f t="shared" si="74"/>
        <v>35742</v>
      </c>
      <c r="G194" s="31">
        <f t="shared" si="74"/>
        <v>21780.3</v>
      </c>
      <c r="H194" s="31">
        <f t="shared" si="74"/>
        <v>13961.7</v>
      </c>
      <c r="I194" s="31">
        <f t="shared" si="74"/>
        <v>12807.8</v>
      </c>
      <c r="J194" s="31">
        <f t="shared" si="74"/>
        <v>13358.4</v>
      </c>
      <c r="K194" s="31">
        <f t="shared" si="74"/>
        <v>23056.1</v>
      </c>
      <c r="L194" s="34" t="e">
        <f>K194/#REF!*100</f>
        <v>#REF!</v>
      </c>
      <c r="M194" s="34">
        <f>K194/I194*100</f>
        <v>180.0160839488437</v>
      </c>
      <c r="N194" s="57"/>
      <c r="O194" s="58" t="e">
        <f>J194+#REF!+#REF!</f>
        <v>#REF!</v>
      </c>
      <c r="P194" s="43">
        <f t="shared" si="61"/>
        <v>172.5962690142532</v>
      </c>
      <c r="Q194" s="34">
        <f t="shared" si="59"/>
        <v>64.5070225505008</v>
      </c>
      <c r="R194" s="31">
        <f t="shared" si="60"/>
        <v>37.24240084512229</v>
      </c>
      <c r="S194" s="31">
        <f t="shared" si="53"/>
        <v>45.672917875869885</v>
      </c>
    </row>
    <row r="195" spans="1:19" ht="12.75">
      <c r="A195" s="96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8"/>
      <c r="N195" s="57"/>
      <c r="O195" s="57"/>
      <c r="P195" s="56"/>
      <c r="Q195" s="34"/>
      <c r="R195" s="31"/>
      <c r="S195" s="25"/>
    </row>
    <row r="196" spans="1:19" ht="12.75">
      <c r="A196" s="87" t="s">
        <v>35</v>
      </c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9"/>
    </row>
    <row r="197" spans="1:19" ht="12.75">
      <c r="A197" s="32" t="s">
        <v>3</v>
      </c>
      <c r="B197" s="32"/>
      <c r="C197" s="33" t="s">
        <v>68</v>
      </c>
      <c r="D197" s="34">
        <f>D198+D201+D203+D204+D202+D205+D206+D200+D199</f>
        <v>4141.5</v>
      </c>
      <c r="E197" s="34">
        <f>E198+E201+E203+E204+E202+E205+E206+E200+E199</f>
        <v>4141.5</v>
      </c>
      <c r="F197" s="34">
        <f>F198+F201+F203+F204+F202+F205+F206+F200+F199</f>
        <v>1937.6</v>
      </c>
      <c r="G197" s="34">
        <f aca="true" t="shared" si="75" ref="G197:P197">G198+G201+G203+G204+G202+G205+G206+G200+G199</f>
        <v>855.2</v>
      </c>
      <c r="H197" s="34">
        <f t="shared" si="75"/>
        <v>1082.4</v>
      </c>
      <c r="I197" s="34">
        <f t="shared" si="75"/>
        <v>1172.4</v>
      </c>
      <c r="J197" s="34">
        <f t="shared" si="75"/>
        <v>1031.5</v>
      </c>
      <c r="K197" s="34">
        <f t="shared" si="75"/>
        <v>1846.3000000000002</v>
      </c>
      <c r="L197" s="34" t="e">
        <f t="shared" si="75"/>
        <v>#REF!</v>
      </c>
      <c r="M197" s="34" t="e">
        <f t="shared" si="75"/>
        <v>#DIV/0!</v>
      </c>
      <c r="N197" s="34">
        <f t="shared" si="75"/>
        <v>0</v>
      </c>
      <c r="O197" s="34">
        <f t="shared" si="75"/>
        <v>0</v>
      </c>
      <c r="P197" s="34" t="e">
        <f t="shared" si="75"/>
        <v>#DIV/0!</v>
      </c>
      <c r="Q197" s="34">
        <f t="shared" si="59"/>
        <v>95.28798513625105</v>
      </c>
      <c r="R197" s="31">
        <f t="shared" si="60"/>
        <v>44.58046601472897</v>
      </c>
      <c r="S197" s="31">
        <f t="shared" si="53"/>
        <v>44.58046601472897</v>
      </c>
    </row>
    <row r="198" spans="1:19" ht="12.75">
      <c r="A198" s="28" t="s">
        <v>23</v>
      </c>
      <c r="B198" s="28"/>
      <c r="C198" s="35" t="s">
        <v>22</v>
      </c>
      <c r="D198" s="60">
        <v>1055</v>
      </c>
      <c r="E198" s="44">
        <f>G198+H198+I198+J198</f>
        <v>1055</v>
      </c>
      <c r="F198" s="66">
        <f aca="true" t="shared" si="76" ref="F198:F208">G198+H198</f>
        <v>517</v>
      </c>
      <c r="G198" s="44">
        <v>172</v>
      </c>
      <c r="H198" s="44">
        <v>345</v>
      </c>
      <c r="I198" s="24">
        <v>250</v>
      </c>
      <c r="J198" s="24">
        <v>288</v>
      </c>
      <c r="K198" s="25">
        <v>421.1</v>
      </c>
      <c r="L198" s="27" t="e">
        <f>K198/#REF!*100</f>
        <v>#REF!</v>
      </c>
      <c r="M198" s="27">
        <f aca="true" t="shared" si="77" ref="M198:M204">K198/I198*100</f>
        <v>168.44</v>
      </c>
      <c r="N198" s="57"/>
      <c r="O198" s="57"/>
      <c r="P198" s="24">
        <f t="shared" si="61"/>
        <v>146.21527777777777</v>
      </c>
      <c r="Q198" s="27">
        <f t="shared" si="59"/>
        <v>81.45067698259187</v>
      </c>
      <c r="R198" s="25">
        <f t="shared" si="60"/>
        <v>39.91469194312796</v>
      </c>
      <c r="S198" s="25">
        <f t="shared" si="53"/>
        <v>39.91469194312796</v>
      </c>
    </row>
    <row r="199" spans="1:19" ht="12.75">
      <c r="A199" s="19" t="s">
        <v>70</v>
      </c>
      <c r="B199" s="19"/>
      <c r="C199" s="35" t="s">
        <v>71</v>
      </c>
      <c r="D199" s="60">
        <v>2819.5</v>
      </c>
      <c r="E199" s="44">
        <f>G199+H199+I199+J199</f>
        <v>2819.5</v>
      </c>
      <c r="F199" s="66">
        <f t="shared" si="76"/>
        <v>1310.6</v>
      </c>
      <c r="G199" s="44">
        <v>632.2</v>
      </c>
      <c r="H199" s="44">
        <v>678.4</v>
      </c>
      <c r="I199" s="24">
        <v>849.4</v>
      </c>
      <c r="J199" s="24">
        <v>659.5</v>
      </c>
      <c r="K199" s="25">
        <v>1245</v>
      </c>
      <c r="L199" s="27"/>
      <c r="M199" s="27"/>
      <c r="N199" s="57"/>
      <c r="O199" s="57"/>
      <c r="P199" s="24"/>
      <c r="Q199" s="27">
        <f>K199*100/F199</f>
        <v>94.99465893483901</v>
      </c>
      <c r="R199" s="25">
        <f>K199*100/E199</f>
        <v>44.15676538393332</v>
      </c>
      <c r="S199" s="25">
        <f t="shared" si="53"/>
        <v>44.15676538393332</v>
      </c>
    </row>
    <row r="200" spans="1:19" ht="12.75">
      <c r="A200" s="19" t="s">
        <v>8</v>
      </c>
      <c r="B200" s="47" t="s">
        <v>55</v>
      </c>
      <c r="C200" s="35" t="s">
        <v>5</v>
      </c>
      <c r="D200" s="60">
        <v>7</v>
      </c>
      <c r="E200" s="44">
        <f aca="true" t="shared" si="78" ref="E200:E208">G200+H200+I200+J200</f>
        <v>7</v>
      </c>
      <c r="F200" s="66">
        <f t="shared" si="76"/>
        <v>7</v>
      </c>
      <c r="G200" s="44"/>
      <c r="H200" s="44">
        <v>7</v>
      </c>
      <c r="I200" s="24"/>
      <c r="J200" s="24"/>
      <c r="K200" s="25">
        <v>24.1</v>
      </c>
      <c r="L200" s="27" t="e">
        <f>K200/#REF!*100</f>
        <v>#REF!</v>
      </c>
      <c r="M200" s="27"/>
      <c r="N200" s="57"/>
      <c r="O200" s="57"/>
      <c r="P200" s="24" t="e">
        <f t="shared" si="61"/>
        <v>#DIV/0!</v>
      </c>
      <c r="Q200" s="27"/>
      <c r="R200" s="25">
        <f t="shared" si="60"/>
        <v>344.2857142857143</v>
      </c>
      <c r="S200" s="25">
        <f t="shared" si="53"/>
        <v>344.2857142857143</v>
      </c>
    </row>
    <row r="201" spans="1:19" ht="12.75">
      <c r="A201" s="19" t="s">
        <v>9</v>
      </c>
      <c r="B201" s="19"/>
      <c r="C201" s="35" t="s">
        <v>6</v>
      </c>
      <c r="D201" s="60">
        <v>178</v>
      </c>
      <c r="E201" s="44">
        <f t="shared" si="78"/>
        <v>178</v>
      </c>
      <c r="F201" s="66">
        <f t="shared" si="76"/>
        <v>62</v>
      </c>
      <c r="G201" s="44">
        <v>31</v>
      </c>
      <c r="H201" s="44">
        <v>31</v>
      </c>
      <c r="I201" s="24">
        <v>53</v>
      </c>
      <c r="J201" s="24">
        <v>63</v>
      </c>
      <c r="K201" s="25">
        <v>80.6</v>
      </c>
      <c r="L201" s="27" t="e">
        <f>K201/#REF!*100</f>
        <v>#REF!</v>
      </c>
      <c r="M201" s="27">
        <f t="shared" si="77"/>
        <v>152.0754716981132</v>
      </c>
      <c r="N201" s="57"/>
      <c r="O201" s="57"/>
      <c r="P201" s="24">
        <f t="shared" si="61"/>
        <v>127.93650793650792</v>
      </c>
      <c r="Q201" s="27">
        <f t="shared" si="59"/>
        <v>129.99999999999997</v>
      </c>
      <c r="R201" s="25">
        <f t="shared" si="60"/>
        <v>45.28089887640449</v>
      </c>
      <c r="S201" s="25">
        <f aca="true" t="shared" si="79" ref="S201:S230">K201*100/D201</f>
        <v>45.28089887640449</v>
      </c>
    </row>
    <row r="202" spans="1:19" ht="12.75">
      <c r="A202" s="19" t="s">
        <v>10</v>
      </c>
      <c r="B202" s="19"/>
      <c r="C202" s="35" t="s">
        <v>21</v>
      </c>
      <c r="D202" s="60">
        <v>17</v>
      </c>
      <c r="E202" s="44">
        <f t="shared" si="78"/>
        <v>17</v>
      </c>
      <c r="F202" s="66">
        <f t="shared" si="76"/>
        <v>9</v>
      </c>
      <c r="G202" s="44">
        <v>4</v>
      </c>
      <c r="H202" s="44">
        <v>5</v>
      </c>
      <c r="I202" s="24">
        <v>4</v>
      </c>
      <c r="J202" s="24">
        <v>4</v>
      </c>
      <c r="K202" s="25">
        <v>7.1</v>
      </c>
      <c r="L202" s="27" t="e">
        <f>K202/#REF!*100</f>
        <v>#REF!</v>
      </c>
      <c r="M202" s="27">
        <f t="shared" si="77"/>
        <v>177.5</v>
      </c>
      <c r="N202" s="57"/>
      <c r="O202" s="57"/>
      <c r="P202" s="24">
        <f t="shared" si="61"/>
        <v>177.5</v>
      </c>
      <c r="Q202" s="27">
        <f t="shared" si="59"/>
        <v>78.88888888888889</v>
      </c>
      <c r="R202" s="25">
        <f t="shared" si="60"/>
        <v>41.76470588235294</v>
      </c>
      <c r="S202" s="25">
        <f t="shared" si="79"/>
        <v>41.76470588235294</v>
      </c>
    </row>
    <row r="203" spans="1:19" ht="24">
      <c r="A203" s="20" t="s">
        <v>11</v>
      </c>
      <c r="B203" s="20"/>
      <c r="C203" s="35" t="s">
        <v>17</v>
      </c>
      <c r="D203" s="60">
        <v>65</v>
      </c>
      <c r="E203" s="44">
        <f t="shared" si="78"/>
        <v>65</v>
      </c>
      <c r="F203" s="66">
        <f t="shared" si="76"/>
        <v>32</v>
      </c>
      <c r="G203" s="44">
        <v>16</v>
      </c>
      <c r="H203" s="44">
        <v>16</v>
      </c>
      <c r="I203" s="24">
        <v>16</v>
      </c>
      <c r="J203" s="24">
        <v>17</v>
      </c>
      <c r="K203" s="25">
        <v>74.2</v>
      </c>
      <c r="L203" s="27" t="e">
        <f>K203/#REF!*100</f>
        <v>#REF!</v>
      </c>
      <c r="M203" s="27">
        <f t="shared" si="77"/>
        <v>463.75</v>
      </c>
      <c r="N203" s="57"/>
      <c r="O203" s="57"/>
      <c r="P203" s="24">
        <f t="shared" si="61"/>
        <v>436.47058823529414</v>
      </c>
      <c r="Q203" s="27">
        <f t="shared" si="59"/>
        <v>231.875</v>
      </c>
      <c r="R203" s="25">
        <f t="shared" si="60"/>
        <v>114.15384615384616</v>
      </c>
      <c r="S203" s="25">
        <f t="shared" si="79"/>
        <v>114.15384615384616</v>
      </c>
    </row>
    <row r="204" spans="1:19" ht="12.75" hidden="1">
      <c r="A204" s="36" t="s">
        <v>18</v>
      </c>
      <c r="B204" s="36"/>
      <c r="C204" s="35" t="s">
        <v>15</v>
      </c>
      <c r="D204" s="60"/>
      <c r="E204" s="44">
        <f t="shared" si="78"/>
        <v>0</v>
      </c>
      <c r="F204" s="66">
        <f t="shared" si="76"/>
        <v>0</v>
      </c>
      <c r="G204" s="44"/>
      <c r="H204" s="44"/>
      <c r="I204" s="24"/>
      <c r="J204" s="24"/>
      <c r="K204" s="25"/>
      <c r="L204" s="27" t="e">
        <f>K204/#REF!*100</f>
        <v>#REF!</v>
      </c>
      <c r="M204" s="27" t="e">
        <f t="shared" si="77"/>
        <v>#DIV/0!</v>
      </c>
      <c r="N204" s="57"/>
      <c r="O204" s="57"/>
      <c r="P204" s="24" t="e">
        <f t="shared" si="61"/>
        <v>#DIV/0!</v>
      </c>
      <c r="Q204" s="27"/>
      <c r="R204" s="25"/>
      <c r="S204" s="25" t="e">
        <f t="shared" si="79"/>
        <v>#DIV/0!</v>
      </c>
    </row>
    <row r="205" spans="1:19" ht="15.75" customHeight="1" hidden="1">
      <c r="A205" s="36" t="s">
        <v>12</v>
      </c>
      <c r="B205" s="82"/>
      <c r="C205" s="35" t="s">
        <v>7</v>
      </c>
      <c r="D205" s="60"/>
      <c r="E205" s="44">
        <f t="shared" si="78"/>
        <v>0</v>
      </c>
      <c r="F205" s="66">
        <f t="shared" si="76"/>
        <v>0</v>
      </c>
      <c r="G205" s="44"/>
      <c r="H205" s="44"/>
      <c r="I205" s="24"/>
      <c r="J205" s="24"/>
      <c r="K205" s="25"/>
      <c r="L205" s="27" t="e">
        <f>K205/#REF!*100</f>
        <v>#REF!</v>
      </c>
      <c r="M205" s="27"/>
      <c r="N205" s="57"/>
      <c r="O205" s="57"/>
      <c r="P205" s="24" t="e">
        <f t="shared" si="61"/>
        <v>#DIV/0!</v>
      </c>
      <c r="Q205" s="27"/>
      <c r="R205" s="25"/>
      <c r="S205" s="25" t="e">
        <f t="shared" si="79"/>
        <v>#DIV/0!</v>
      </c>
    </row>
    <row r="206" spans="1:19" ht="13.5" customHeight="1">
      <c r="A206" s="72" t="s">
        <v>39</v>
      </c>
      <c r="B206" s="68"/>
      <c r="C206" s="23" t="s">
        <v>40</v>
      </c>
      <c r="D206" s="60"/>
      <c r="E206" s="44">
        <f t="shared" si="78"/>
        <v>0</v>
      </c>
      <c r="F206" s="66">
        <f t="shared" si="76"/>
        <v>0</v>
      </c>
      <c r="G206" s="44"/>
      <c r="H206" s="44"/>
      <c r="I206" s="24"/>
      <c r="J206" s="24"/>
      <c r="K206" s="25">
        <v>-5.8</v>
      </c>
      <c r="L206" s="27" t="e">
        <f>K206/#REF!*100</f>
        <v>#REF!</v>
      </c>
      <c r="M206" s="27"/>
      <c r="N206" s="57"/>
      <c r="O206" s="57"/>
      <c r="P206" s="24"/>
      <c r="Q206" s="27"/>
      <c r="R206" s="25"/>
      <c r="S206" s="25"/>
    </row>
    <row r="207" spans="1:19" ht="12.75">
      <c r="A207" s="32" t="s">
        <v>1</v>
      </c>
      <c r="B207" s="32"/>
      <c r="C207" s="39" t="s">
        <v>0</v>
      </c>
      <c r="D207" s="40">
        <f aca="true" t="shared" si="80" ref="D207:K207">D208</f>
        <v>21907.3</v>
      </c>
      <c r="E207" s="40">
        <f t="shared" si="80"/>
        <v>25007.899999999998</v>
      </c>
      <c r="F207" s="40">
        <f t="shared" si="80"/>
        <v>13300.3</v>
      </c>
      <c r="G207" s="40">
        <f t="shared" si="80"/>
        <v>6687.4</v>
      </c>
      <c r="H207" s="40">
        <f t="shared" si="80"/>
        <v>6612.9</v>
      </c>
      <c r="I207" s="40">
        <f t="shared" si="80"/>
        <v>6450.9</v>
      </c>
      <c r="J207" s="40">
        <f t="shared" si="80"/>
        <v>5256.7</v>
      </c>
      <c r="K207" s="40">
        <f t="shared" si="80"/>
        <v>9209.9</v>
      </c>
      <c r="L207" s="34" t="e">
        <f>K207/#REF!*100</f>
        <v>#REF!</v>
      </c>
      <c r="M207" s="34">
        <f>K207/I207*100</f>
        <v>142.76922599947295</v>
      </c>
      <c r="N207" s="57"/>
      <c r="O207" s="57"/>
      <c r="P207" s="43">
        <f t="shared" si="61"/>
        <v>175.20307417200905</v>
      </c>
      <c r="Q207" s="34">
        <f t="shared" si="59"/>
        <v>69.245806485568</v>
      </c>
      <c r="R207" s="31">
        <f t="shared" si="60"/>
        <v>36.827962363893015</v>
      </c>
      <c r="S207" s="31">
        <f t="shared" si="79"/>
        <v>42.04032445805736</v>
      </c>
    </row>
    <row r="208" spans="1:19" ht="24">
      <c r="A208" s="21" t="s">
        <v>67</v>
      </c>
      <c r="B208" s="19"/>
      <c r="C208" s="41" t="s">
        <v>20</v>
      </c>
      <c r="D208" s="44">
        <v>21907.3</v>
      </c>
      <c r="E208" s="44">
        <f t="shared" si="78"/>
        <v>25007.899999999998</v>
      </c>
      <c r="F208" s="66">
        <f t="shared" si="76"/>
        <v>13300.3</v>
      </c>
      <c r="G208" s="44">
        <f>6570+117.4</f>
        <v>6687.4</v>
      </c>
      <c r="H208" s="44">
        <f>6491.9+121</f>
        <v>6612.9</v>
      </c>
      <c r="I208" s="24">
        <v>6450.9</v>
      </c>
      <c r="J208" s="24">
        <v>5256.7</v>
      </c>
      <c r="K208" s="25">
        <v>9209.9</v>
      </c>
      <c r="L208" s="27" t="e">
        <f>K208/#REF!*100</f>
        <v>#REF!</v>
      </c>
      <c r="M208" s="27">
        <f>K208/I208*100</f>
        <v>142.76922599947295</v>
      </c>
      <c r="N208" s="57"/>
      <c r="O208" s="57"/>
      <c r="P208" s="24">
        <f t="shared" si="61"/>
        <v>175.20307417200905</v>
      </c>
      <c r="Q208" s="27">
        <f t="shared" si="59"/>
        <v>69.245806485568</v>
      </c>
      <c r="R208" s="25">
        <f t="shared" si="60"/>
        <v>36.827962363893015</v>
      </c>
      <c r="S208" s="25">
        <f t="shared" si="79"/>
        <v>42.04032445805736</v>
      </c>
    </row>
    <row r="209" spans="1:19" ht="12.75">
      <c r="A209" s="28"/>
      <c r="B209" s="29"/>
      <c r="C209" s="30" t="s">
        <v>4</v>
      </c>
      <c r="D209" s="31">
        <f aca="true" t="shared" si="81" ref="D209:K209">D207+D197</f>
        <v>26048.8</v>
      </c>
      <c r="E209" s="31">
        <f t="shared" si="81"/>
        <v>29149.399999999998</v>
      </c>
      <c r="F209" s="31">
        <f t="shared" si="81"/>
        <v>15237.9</v>
      </c>
      <c r="G209" s="43">
        <f t="shared" si="81"/>
        <v>7542.599999999999</v>
      </c>
      <c r="H209" s="43">
        <f t="shared" si="81"/>
        <v>7695.299999999999</v>
      </c>
      <c r="I209" s="43">
        <f t="shared" si="81"/>
        <v>7623.299999999999</v>
      </c>
      <c r="J209" s="43">
        <f t="shared" si="81"/>
        <v>6288.2</v>
      </c>
      <c r="K209" s="31">
        <f t="shared" si="81"/>
        <v>11056.2</v>
      </c>
      <c r="L209" s="34" t="e">
        <f>K209/#REF!*100</f>
        <v>#REF!</v>
      </c>
      <c r="M209" s="34">
        <f>K209/I209*100</f>
        <v>145.03167919404984</v>
      </c>
      <c r="N209" s="57"/>
      <c r="O209" s="58" t="e">
        <f>J209+#REF!+#REF!</f>
        <v>#REF!</v>
      </c>
      <c r="P209" s="43">
        <f t="shared" si="61"/>
        <v>175.82456028752267</v>
      </c>
      <c r="Q209" s="34">
        <f t="shared" si="59"/>
        <v>72.55724213966492</v>
      </c>
      <c r="R209" s="31">
        <f t="shared" si="60"/>
        <v>37.92942564855537</v>
      </c>
      <c r="S209" s="31">
        <f t="shared" si="79"/>
        <v>42.444181689751545</v>
      </c>
    </row>
    <row r="210" spans="1:19" ht="12.75">
      <c r="A210" s="96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8"/>
      <c r="N210" s="57"/>
      <c r="O210" s="57"/>
      <c r="P210" s="56"/>
      <c r="Q210" s="34"/>
      <c r="R210" s="31"/>
      <c r="S210" s="25"/>
    </row>
    <row r="211" spans="1:19" ht="12.75">
      <c r="A211" s="87" t="s">
        <v>36</v>
      </c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9"/>
    </row>
    <row r="212" spans="1:19" ht="12.75">
      <c r="A212" s="32" t="s">
        <v>3</v>
      </c>
      <c r="B212" s="48"/>
      <c r="C212" s="33" t="s">
        <v>68</v>
      </c>
      <c r="D212" s="34">
        <f aca="true" t="shared" si="82" ref="D212:K212">D213+D215+D216+D217+D219+D220+D222+D224+D221+D218+D225+D223+D214</f>
        <v>939794.6</v>
      </c>
      <c r="E212" s="34">
        <f t="shared" si="82"/>
        <v>940291.8</v>
      </c>
      <c r="F212" s="34">
        <f t="shared" si="82"/>
        <v>473246.39999999997</v>
      </c>
      <c r="G212" s="34">
        <f t="shared" si="82"/>
        <v>219526.09999999995</v>
      </c>
      <c r="H212" s="34">
        <f t="shared" si="82"/>
        <v>253720.30000000005</v>
      </c>
      <c r="I212" s="34">
        <f t="shared" si="82"/>
        <v>219685.10000000003</v>
      </c>
      <c r="J212" s="34">
        <f t="shared" si="82"/>
        <v>247360.29999999996</v>
      </c>
      <c r="K212" s="34">
        <f t="shared" si="82"/>
        <v>443025.60000000015</v>
      </c>
      <c r="L212" s="34" t="e">
        <f>K212/#REF!*100</f>
        <v>#REF!</v>
      </c>
      <c r="M212" s="34">
        <f aca="true" t="shared" si="83" ref="M212:M223">K212/I212*100</f>
        <v>201.6639271393463</v>
      </c>
      <c r="N212" s="57"/>
      <c r="O212" s="57"/>
      <c r="P212" s="34">
        <f t="shared" si="61"/>
        <v>179.10133517787625</v>
      </c>
      <c r="Q212" s="34">
        <f t="shared" si="59"/>
        <v>93.61415110606234</v>
      </c>
      <c r="R212" s="31">
        <f t="shared" si="60"/>
        <v>47.11575704478122</v>
      </c>
      <c r="S212" s="31">
        <f t="shared" si="79"/>
        <v>47.140683719612795</v>
      </c>
    </row>
    <row r="213" spans="1:19" ht="12.75">
      <c r="A213" s="28" t="s">
        <v>23</v>
      </c>
      <c r="B213" s="49" t="s">
        <v>54</v>
      </c>
      <c r="C213" s="35" t="s">
        <v>22</v>
      </c>
      <c r="D213" s="25">
        <f>D9+D31+D46+D64+D81+D99+D115+D132+D148+D165+D182+D198</f>
        <v>685973.2</v>
      </c>
      <c r="E213" s="44">
        <f>G213+H213+I213+J213</f>
        <v>685973.2</v>
      </c>
      <c r="F213" s="66">
        <f aca="true" t="shared" si="84" ref="F213:F229">G213+H213</f>
        <v>348361</v>
      </c>
      <c r="G213" s="25">
        <f>G9+G31+G46+G64+G81+G99+G115+G132+G148+G165+G182+G198</f>
        <v>159336</v>
      </c>
      <c r="H213" s="25">
        <f>H9+H31+H46+H64+H81+H99+H115+H132+H148+H165+H182+H198</f>
        <v>189025.00000000003</v>
      </c>
      <c r="I213" s="25">
        <f>I9+I31+I46+I64+I81+I99+I115+I132+I148+I165+I182+I198</f>
        <v>157942.90000000002</v>
      </c>
      <c r="J213" s="25">
        <f>J9+J31+J46+J64+J81+J99+J115+J132+J148+J165+J182+J198</f>
        <v>179669.3</v>
      </c>
      <c r="K213" s="25">
        <f>K9+K31+K46+K64+K81+K99+K115+K132+K148+K165+K182+K198-0.1</f>
        <v>308916.70000000007</v>
      </c>
      <c r="L213" s="27" t="e">
        <f>K213/#REF!*100</f>
        <v>#REF!</v>
      </c>
      <c r="M213" s="27">
        <f t="shared" si="83"/>
        <v>195.58758260105392</v>
      </c>
      <c r="N213" s="57"/>
      <c r="O213" s="57"/>
      <c r="P213" s="24">
        <f t="shared" si="61"/>
        <v>171.93627403234726</v>
      </c>
      <c r="Q213" s="27">
        <f t="shared" si="59"/>
        <v>88.67717683667233</v>
      </c>
      <c r="R213" s="25">
        <f t="shared" si="60"/>
        <v>45.033348241593124</v>
      </c>
      <c r="S213" s="25">
        <f t="shared" si="79"/>
        <v>45.033348241593124</v>
      </c>
    </row>
    <row r="214" spans="1:19" ht="12.75">
      <c r="A214" s="19" t="s">
        <v>70</v>
      </c>
      <c r="B214" s="19"/>
      <c r="C214" s="35" t="s">
        <v>71</v>
      </c>
      <c r="D214" s="25">
        <f>D10+D32+D47+D65+D82+D100+D117+D133+D149+D166+D183+D199</f>
        <v>38564.40000000001</v>
      </c>
      <c r="E214" s="44">
        <f aca="true" t="shared" si="85" ref="E214:E229">G214+H214+I214+J214</f>
        <v>38564.4</v>
      </c>
      <c r="F214" s="66">
        <f t="shared" si="84"/>
        <v>18495.5</v>
      </c>
      <c r="G214" s="25">
        <f>G10+G32+G47+G65+G82+G100+G117+G133+G149+G166+G183+G199</f>
        <v>9035.800000000001</v>
      </c>
      <c r="H214" s="25">
        <f>H10+H32+H47+H65+H82+H100+H117+H133+H149+H166+H183+H199</f>
        <v>9459.699999999999</v>
      </c>
      <c r="I214" s="25">
        <f>I10+I32+I47+I65+I82+I100+I117+I133+I149+I166+I183+I199</f>
        <v>10173.6</v>
      </c>
      <c r="J214" s="25">
        <f>J10+J32+J47+J65+J82+J100+J117+J133+J149+J166+J183+J199</f>
        <v>9895.300000000001</v>
      </c>
      <c r="K214" s="25">
        <f>K10+K32+K47+K65+K82+K100+K117+K133+K149+K166+K183+K199+0.1</f>
        <v>17028.5</v>
      </c>
      <c r="L214" s="25">
        <f>L10</f>
        <v>0</v>
      </c>
      <c r="M214" s="25">
        <f>M10</f>
        <v>0</v>
      </c>
      <c r="N214" s="25">
        <f>N10</f>
        <v>0</v>
      </c>
      <c r="O214" s="25">
        <f>O10</f>
        <v>0</v>
      </c>
      <c r="P214" s="25">
        <f>P10</f>
        <v>0</v>
      </c>
      <c r="Q214" s="27">
        <f t="shared" si="59"/>
        <v>92.06834094779812</v>
      </c>
      <c r="R214" s="25">
        <f t="shared" si="60"/>
        <v>44.15600916907822</v>
      </c>
      <c r="S214" s="25">
        <f t="shared" si="79"/>
        <v>44.15600916907821</v>
      </c>
    </row>
    <row r="215" spans="1:19" ht="12.75">
      <c r="A215" s="19" t="s">
        <v>8</v>
      </c>
      <c r="B215" s="47" t="s">
        <v>55</v>
      </c>
      <c r="C215" s="35" t="s">
        <v>5</v>
      </c>
      <c r="D215" s="25">
        <f>D11+D48+D66+D200+D150+D116+D184+D83+D101+D167+D118</f>
        <v>38556</v>
      </c>
      <c r="E215" s="44">
        <f>G215+H215+I215+J215</f>
        <v>38566.8</v>
      </c>
      <c r="F215" s="66">
        <f t="shared" si="84"/>
        <v>21299.3</v>
      </c>
      <c r="G215" s="25">
        <f>G11+G48+G66+G200+G150+G116+G184+G83+G101+G167</f>
        <v>8918.9</v>
      </c>
      <c r="H215" s="25">
        <f>H11+H48+H66+H200+H150+H116+H184+H83+H101+H167</f>
        <v>12380.4</v>
      </c>
      <c r="I215" s="25">
        <f>I11+I48+I66+I200+I150+I116+I184+I83+I101+I167</f>
        <v>8838.1</v>
      </c>
      <c r="J215" s="25">
        <f>J11+J48+J66+J200+J150+J116+J184+J83+J101+J167</f>
        <v>8429.399999999998</v>
      </c>
      <c r="K215" s="25">
        <f>K11+K48+K66+K200+K150+K116+K184+K83+K101+K167+K118</f>
        <v>30282.3</v>
      </c>
      <c r="L215" s="27" t="e">
        <f>K215/#REF!*100</f>
        <v>#REF!</v>
      </c>
      <c r="M215" s="27">
        <f t="shared" si="83"/>
        <v>342.6335977189667</v>
      </c>
      <c r="N215" s="57"/>
      <c r="O215" s="57"/>
      <c r="P215" s="24">
        <f t="shared" si="61"/>
        <v>359.2462096946403</v>
      </c>
      <c r="Q215" s="27">
        <f t="shared" si="59"/>
        <v>142.17509495617227</v>
      </c>
      <c r="R215" s="25">
        <f t="shared" si="60"/>
        <v>78.51908895734154</v>
      </c>
      <c r="S215" s="25">
        <f t="shared" si="79"/>
        <v>78.54108309990663</v>
      </c>
    </row>
    <row r="216" spans="1:19" ht="12.75">
      <c r="A216" s="19" t="s">
        <v>9</v>
      </c>
      <c r="B216" s="47" t="s">
        <v>56</v>
      </c>
      <c r="C216" s="35" t="s">
        <v>6</v>
      </c>
      <c r="D216" s="25">
        <f>D12+D33+D49+D67+D84+D102+D119+D134+D151+D168+D185+D201</f>
        <v>20925.8</v>
      </c>
      <c r="E216" s="44">
        <f t="shared" si="85"/>
        <v>20925.8</v>
      </c>
      <c r="F216" s="66">
        <f t="shared" si="84"/>
        <v>7955.1</v>
      </c>
      <c r="G216" s="25">
        <f>G12+G33+G49+G67+G84+G102+G119+G134+G151+G168+G185+G201</f>
        <v>4495.5</v>
      </c>
      <c r="H216" s="25">
        <f>H12+H33+H49+H67+H84+H102+H119+H134+H151+H168+H185+H201</f>
        <v>3459.6</v>
      </c>
      <c r="I216" s="25">
        <f>I12+I33+I49+I67+I84+I102+I119+I134+I151+I168+I185+I201</f>
        <v>3902.2</v>
      </c>
      <c r="J216" s="25">
        <f>J12+J33+J49+J67+J84+J102+J119+J134+J151+J168+J185+J201</f>
        <v>9068.5</v>
      </c>
      <c r="K216" s="25">
        <f>K12+K33+K49+K67+K84+K102+K119+K134+K151+K168+K185+K201</f>
        <v>5768.400000000001</v>
      </c>
      <c r="L216" s="27" t="e">
        <f>K216/#REF!*100</f>
        <v>#REF!</v>
      </c>
      <c r="M216" s="27">
        <f t="shared" si="83"/>
        <v>147.82430423863465</v>
      </c>
      <c r="N216" s="57"/>
      <c r="O216" s="57"/>
      <c r="P216" s="24">
        <f t="shared" si="61"/>
        <v>63.60919666979103</v>
      </c>
      <c r="Q216" s="27">
        <f t="shared" si="59"/>
        <v>72.5119734509937</v>
      </c>
      <c r="R216" s="25">
        <f t="shared" si="60"/>
        <v>27.56597119345497</v>
      </c>
      <c r="S216" s="25">
        <f t="shared" si="79"/>
        <v>27.56597119345497</v>
      </c>
    </row>
    <row r="217" spans="1:19" ht="12.75">
      <c r="A217" s="19" t="s">
        <v>10</v>
      </c>
      <c r="B217" s="47" t="s">
        <v>49</v>
      </c>
      <c r="C217" s="35" t="s">
        <v>21</v>
      </c>
      <c r="D217" s="25">
        <f>D13+D34+D50+D68+D85+D103+D120+D135+D152+D169+D186+D202</f>
        <v>4252.4</v>
      </c>
      <c r="E217" s="44">
        <f t="shared" si="85"/>
        <v>4252.400000000001</v>
      </c>
      <c r="F217" s="66">
        <f t="shared" si="84"/>
        <v>2135.9</v>
      </c>
      <c r="G217" s="25">
        <f>G13+G34+G68+G85+G103+G120+G135+G152+G169+G186+G202</f>
        <v>1064.8000000000002</v>
      </c>
      <c r="H217" s="25">
        <f>H13+H34+H68+H85+H103+H120+H135+H152+H169+H186+H202</f>
        <v>1071.1</v>
      </c>
      <c r="I217" s="25">
        <f>I13+I34+I68+I85+I103+I120+I135+I152+I169+I186+I202</f>
        <v>1038.8000000000002</v>
      </c>
      <c r="J217" s="25">
        <f>J13+J34+J68+J85+J103+J120+J135+J152+J169+J186+J202</f>
        <v>1077.7</v>
      </c>
      <c r="K217" s="25">
        <f>K13+K34+K50+K68+K85+K103+K120+K135+K152+K169+K186+K202</f>
        <v>1620.8000000000002</v>
      </c>
      <c r="L217" s="27" t="e">
        <f>K217/#REF!*100</f>
        <v>#REF!</v>
      </c>
      <c r="M217" s="27">
        <f t="shared" si="83"/>
        <v>156.02618405852905</v>
      </c>
      <c r="N217" s="57"/>
      <c r="O217" s="57"/>
      <c r="P217" s="24">
        <f t="shared" si="61"/>
        <v>150.39435835575765</v>
      </c>
      <c r="Q217" s="27">
        <f t="shared" si="59"/>
        <v>75.88370242052531</v>
      </c>
      <c r="R217" s="25">
        <f t="shared" si="60"/>
        <v>38.11494685354153</v>
      </c>
      <c r="S217" s="25">
        <f t="shared" si="79"/>
        <v>38.11494685354154</v>
      </c>
    </row>
    <row r="218" spans="1:19" ht="24" hidden="1">
      <c r="A218" s="19" t="s">
        <v>37</v>
      </c>
      <c r="B218" s="47" t="s">
        <v>57</v>
      </c>
      <c r="C218" s="35" t="s">
        <v>38</v>
      </c>
      <c r="D218" s="50">
        <f>D14</f>
        <v>0</v>
      </c>
      <c r="E218" s="44">
        <f t="shared" si="85"/>
        <v>0</v>
      </c>
      <c r="F218" s="66">
        <f t="shared" si="84"/>
        <v>0</v>
      </c>
      <c r="G218" s="50">
        <f>G14</f>
        <v>0</v>
      </c>
      <c r="H218" s="50">
        <f>H14</f>
        <v>0</v>
      </c>
      <c r="I218" s="50">
        <f>I14</f>
        <v>0</v>
      </c>
      <c r="J218" s="50">
        <f>J14</f>
        <v>0</v>
      </c>
      <c r="K218" s="50">
        <f>K14</f>
        <v>0</v>
      </c>
      <c r="L218" s="27" t="e">
        <f>K218/#REF!*100</f>
        <v>#REF!</v>
      </c>
      <c r="M218" s="27"/>
      <c r="N218" s="57"/>
      <c r="O218" s="57"/>
      <c r="P218" s="24" t="e">
        <f t="shared" si="61"/>
        <v>#DIV/0!</v>
      </c>
      <c r="Q218" s="27"/>
      <c r="R218" s="25"/>
      <c r="S218" s="25" t="e">
        <f t="shared" si="79"/>
        <v>#DIV/0!</v>
      </c>
    </row>
    <row r="219" spans="1:19" ht="24">
      <c r="A219" s="20" t="s">
        <v>11</v>
      </c>
      <c r="B219" s="51" t="s">
        <v>48</v>
      </c>
      <c r="C219" s="35" t="s">
        <v>17</v>
      </c>
      <c r="D219" s="25">
        <f>D15+D35+D51+D69+D86+D104+D121+D136+D153+D170+D187+D203</f>
        <v>112300.7</v>
      </c>
      <c r="E219" s="44">
        <f t="shared" si="85"/>
        <v>112430.2</v>
      </c>
      <c r="F219" s="66">
        <f t="shared" si="84"/>
        <v>55146.7</v>
      </c>
      <c r="G219" s="25">
        <f>G15+G35+G51+G69+G86+G104+G121+G136+G153+G170+G187+G203</f>
        <v>27309.8</v>
      </c>
      <c r="H219" s="25">
        <f>H15+H35+H51+H69+H86+H104+H121+H136+H153+H170+H187+H203</f>
        <v>27836.9</v>
      </c>
      <c r="I219" s="25">
        <f>I15+I35+I51+I69+I86+I104+I121+I136+I153+I170+I187+I203</f>
        <v>28066.500000000004</v>
      </c>
      <c r="J219" s="25">
        <f>J15+J35+J51+J69+J86+J104+J121+J136+J153+J170+J187+J203</f>
        <v>29217</v>
      </c>
      <c r="K219" s="25">
        <f>K15+K35+K51+K69+K86+K104+K121+K136+K153+K170+K187+K203</f>
        <v>41247.69999999999</v>
      </c>
      <c r="L219" s="27" t="e">
        <f>K219/#REF!*100</f>
        <v>#REF!</v>
      </c>
      <c r="M219" s="27">
        <f t="shared" si="83"/>
        <v>146.96417437158172</v>
      </c>
      <c r="N219" s="57"/>
      <c r="O219" s="57"/>
      <c r="P219" s="24">
        <f t="shared" si="61"/>
        <v>141.1770544545983</v>
      </c>
      <c r="Q219" s="27">
        <f aca="true" t="shared" si="86" ref="Q219:Q230">K219*100/F219</f>
        <v>74.79631600802948</v>
      </c>
      <c r="R219" s="25">
        <f aca="true" t="shared" si="87" ref="R219:R230">K219*100/E219</f>
        <v>36.6873847062444</v>
      </c>
      <c r="S219" s="25">
        <f t="shared" si="79"/>
        <v>36.729690910208035</v>
      </c>
    </row>
    <row r="220" spans="1:19" ht="12.75">
      <c r="A220" s="36" t="s">
        <v>14</v>
      </c>
      <c r="B220" s="52" t="s">
        <v>47</v>
      </c>
      <c r="C220" s="35" t="s">
        <v>13</v>
      </c>
      <c r="D220" s="25">
        <f>D16</f>
        <v>5108.6</v>
      </c>
      <c r="E220" s="44">
        <f t="shared" si="85"/>
        <v>5108.6</v>
      </c>
      <c r="F220" s="66">
        <f t="shared" si="84"/>
        <v>2554.1</v>
      </c>
      <c r="G220" s="25">
        <f>G16</f>
        <v>1277</v>
      </c>
      <c r="H220" s="25">
        <f>H16</f>
        <v>1277.1</v>
      </c>
      <c r="I220" s="25">
        <f>I16</f>
        <v>1277.1</v>
      </c>
      <c r="J220" s="25">
        <f>J16</f>
        <v>1277.4</v>
      </c>
      <c r="K220" s="25">
        <f>K16</f>
        <v>6174.4</v>
      </c>
      <c r="L220" s="27" t="e">
        <f>K220/#REF!*100</f>
        <v>#REF!</v>
      </c>
      <c r="M220" s="27">
        <f t="shared" si="83"/>
        <v>483.47036254013</v>
      </c>
      <c r="N220" s="57"/>
      <c r="O220" s="57"/>
      <c r="P220" s="24">
        <f t="shared" si="61"/>
        <v>483.3568185376546</v>
      </c>
      <c r="Q220" s="27">
        <f t="shared" si="86"/>
        <v>241.74464586351357</v>
      </c>
      <c r="R220" s="25">
        <f t="shared" si="87"/>
        <v>120.8628587088439</v>
      </c>
      <c r="S220" s="25">
        <f t="shared" si="79"/>
        <v>120.8628587088439</v>
      </c>
    </row>
    <row r="221" spans="1:19" ht="12.75">
      <c r="A221" s="37" t="s">
        <v>42</v>
      </c>
      <c r="B221" s="53" t="s">
        <v>58</v>
      </c>
      <c r="C221" s="35" t="s">
        <v>43</v>
      </c>
      <c r="D221" s="54">
        <f>D17+D87+D52+D105+D137+D154+D171+D188+D122+D70+D36</f>
        <v>15702.1</v>
      </c>
      <c r="E221" s="44">
        <f t="shared" si="85"/>
        <v>15879.9</v>
      </c>
      <c r="F221" s="66">
        <f t="shared" si="84"/>
        <v>7719.2</v>
      </c>
      <c r="G221" s="54">
        <f>G17+G87+G52+G105+G137+G154+G171+G188+G122+G70+G36</f>
        <v>3654.3</v>
      </c>
      <c r="H221" s="54">
        <f>H17+H87+H52+H105+H137+H154+H171+H188+H122+H70+H36</f>
        <v>4064.8999999999996</v>
      </c>
      <c r="I221" s="54">
        <f>I17+I87+I52+I105+I137+I154+I171+I188+I122+I70+I36</f>
        <v>3983.3</v>
      </c>
      <c r="J221" s="54">
        <f>J17+J87+J52+J105+J137+J154+J171+J188+J122+J70+J36</f>
        <v>4177.4</v>
      </c>
      <c r="K221" s="54">
        <f aca="true" t="shared" si="88" ref="K221:P221">K17+K87+K52+K105+K137+K154+K171+K188+K122+K70+K36</f>
        <v>8954.199999999999</v>
      </c>
      <c r="L221" s="54" t="e">
        <f t="shared" si="88"/>
        <v>#REF!</v>
      </c>
      <c r="M221" s="54">
        <f t="shared" si="88"/>
        <v>2113.9262686359725</v>
      </c>
      <c r="N221" s="54">
        <f t="shared" si="88"/>
        <v>0</v>
      </c>
      <c r="O221" s="54">
        <f t="shared" si="88"/>
        <v>0</v>
      </c>
      <c r="P221" s="54" t="e">
        <f t="shared" si="88"/>
        <v>#DIV/0!</v>
      </c>
      <c r="Q221" s="27">
        <f t="shared" si="86"/>
        <v>115.99906726085604</v>
      </c>
      <c r="R221" s="25">
        <f t="shared" si="87"/>
        <v>56.3870049559506</v>
      </c>
      <c r="S221" s="25">
        <f t="shared" si="79"/>
        <v>57.025493405340676</v>
      </c>
    </row>
    <row r="222" spans="1:19" ht="12.75">
      <c r="A222" s="37" t="s">
        <v>18</v>
      </c>
      <c r="B222" s="53" t="s">
        <v>53</v>
      </c>
      <c r="C222" s="35" t="s">
        <v>15</v>
      </c>
      <c r="D222" s="25">
        <f>D18+D37+D53+D71+D88+D123+D155+D172+D189+D204+D138</f>
        <v>13944</v>
      </c>
      <c r="E222" s="44">
        <f t="shared" si="85"/>
        <v>14115</v>
      </c>
      <c r="F222" s="66">
        <f t="shared" si="84"/>
        <v>7345.8</v>
      </c>
      <c r="G222" s="25">
        <f>G18+G37+G53+G71+G88+G106+G123+G155+G172+G189+G204+G138</f>
        <v>3314.9</v>
      </c>
      <c r="H222" s="25">
        <f>H18+H37+H53+H71+H88+H106+H123+H155+H172+H189+H204+H138</f>
        <v>4030.9</v>
      </c>
      <c r="I222" s="25">
        <f>I18+I37+I53+I71+I88+I106+I123+I155+I172+I189+I204+I138</f>
        <v>3348.9</v>
      </c>
      <c r="J222" s="25">
        <f>J18+J37+J53+J71+J88+J106+J123+J155+J172+J189+J204+J138</f>
        <v>3420.3</v>
      </c>
      <c r="K222" s="25">
        <f>K18+K37+K53+K71+K88+K123+K155+K172+K189+K204+K138+0.1</f>
        <v>9055.700000000003</v>
      </c>
      <c r="L222" s="27" t="e">
        <f>K222/#REF!*100</f>
        <v>#REF!</v>
      </c>
      <c r="M222" s="27">
        <f t="shared" si="83"/>
        <v>270.4081937352564</v>
      </c>
      <c r="N222" s="57"/>
      <c r="O222" s="57"/>
      <c r="P222" s="24">
        <f aca="true" t="shared" si="89" ref="P222:P230">K222*100/J222</f>
        <v>264.763324854545</v>
      </c>
      <c r="Q222" s="27">
        <f t="shared" si="86"/>
        <v>123.27724686215255</v>
      </c>
      <c r="R222" s="25">
        <f t="shared" si="87"/>
        <v>64.15657102373363</v>
      </c>
      <c r="S222" s="25">
        <f t="shared" si="79"/>
        <v>64.94334480780266</v>
      </c>
    </row>
    <row r="223" spans="1:19" ht="12.75">
      <c r="A223" s="37" t="s">
        <v>60</v>
      </c>
      <c r="B223" s="37"/>
      <c r="C223" s="35" t="s">
        <v>61</v>
      </c>
      <c r="D223" s="25">
        <f>D19</f>
        <v>6</v>
      </c>
      <c r="E223" s="44">
        <f t="shared" si="85"/>
        <v>6</v>
      </c>
      <c r="F223" s="66">
        <f t="shared" si="84"/>
        <v>3</v>
      </c>
      <c r="G223" s="25">
        <f>G19</f>
        <v>1</v>
      </c>
      <c r="H223" s="25">
        <f>H19</f>
        <v>2</v>
      </c>
      <c r="I223" s="25">
        <f>I19</f>
        <v>1</v>
      </c>
      <c r="J223" s="25">
        <f>J19</f>
        <v>2</v>
      </c>
      <c r="K223" s="25">
        <f>K19</f>
        <v>6</v>
      </c>
      <c r="L223" s="27" t="e">
        <f>K223/#REF!*100</f>
        <v>#REF!</v>
      </c>
      <c r="M223" s="27">
        <f t="shared" si="83"/>
        <v>600</v>
      </c>
      <c r="N223" s="57"/>
      <c r="O223" s="57"/>
      <c r="P223" s="24">
        <f t="shared" si="89"/>
        <v>300</v>
      </c>
      <c r="Q223" s="27">
        <f t="shared" si="86"/>
        <v>200</v>
      </c>
      <c r="R223" s="25">
        <f t="shared" si="87"/>
        <v>100</v>
      </c>
      <c r="S223" s="25">
        <f t="shared" si="79"/>
        <v>100</v>
      </c>
    </row>
    <row r="224" spans="1:19" ht="12.75">
      <c r="A224" s="28" t="s">
        <v>12</v>
      </c>
      <c r="B224" s="49" t="s">
        <v>50</v>
      </c>
      <c r="C224" s="35" t="s">
        <v>7</v>
      </c>
      <c r="D224" s="25">
        <f>D20+D190+D205+D72+D139+D54+D156+D89+D173+D106</f>
        <v>4461.4</v>
      </c>
      <c r="E224" s="44">
        <f t="shared" si="85"/>
        <v>4469.5</v>
      </c>
      <c r="F224" s="66">
        <f t="shared" si="84"/>
        <v>2230.8</v>
      </c>
      <c r="G224" s="25">
        <f>G20+G190+G205+G72+G139+G54+G156+G89+G173</f>
        <v>1118.1</v>
      </c>
      <c r="H224" s="25">
        <f aca="true" t="shared" si="90" ref="H224:P224">H20+H190+H205+H72+H139+H54+H156+H89</f>
        <v>1112.7</v>
      </c>
      <c r="I224" s="25">
        <f t="shared" si="90"/>
        <v>1112.7</v>
      </c>
      <c r="J224" s="25">
        <f t="shared" si="90"/>
        <v>1126</v>
      </c>
      <c r="K224" s="25">
        <f>K20+K190+K205+K72+K139+K54+K156+K89+K173+K106</f>
        <v>13343.199999999999</v>
      </c>
      <c r="L224" s="25" t="e">
        <f t="shared" si="90"/>
        <v>#REF!</v>
      </c>
      <c r="M224" s="25">
        <f t="shared" si="90"/>
        <v>1191.5970162667386</v>
      </c>
      <c r="N224" s="25">
        <f t="shared" si="90"/>
        <v>0</v>
      </c>
      <c r="O224" s="25">
        <f t="shared" si="90"/>
        <v>0</v>
      </c>
      <c r="P224" s="25" t="e">
        <f t="shared" si="90"/>
        <v>#DIV/0!</v>
      </c>
      <c r="Q224" s="27">
        <f t="shared" si="86"/>
        <v>598.135198135198</v>
      </c>
      <c r="R224" s="25">
        <f t="shared" si="87"/>
        <v>298.53898646381026</v>
      </c>
      <c r="S224" s="25">
        <f t="shared" si="79"/>
        <v>299.08100596225404</v>
      </c>
    </row>
    <row r="225" spans="1:19" ht="12.75">
      <c r="A225" s="38" t="s">
        <v>39</v>
      </c>
      <c r="B225" s="55" t="s">
        <v>57</v>
      </c>
      <c r="C225" s="23" t="s">
        <v>40</v>
      </c>
      <c r="D225" s="25">
        <f>D21+D38+D55+D73+D90+D107+D125+D140+D157+D174+D191+D206</f>
        <v>0</v>
      </c>
      <c r="E225" s="44">
        <v>0</v>
      </c>
      <c r="F225" s="66">
        <f t="shared" si="84"/>
        <v>0</v>
      </c>
      <c r="G225" s="25">
        <v>0</v>
      </c>
      <c r="H225" s="25">
        <f>H21+H38+H55+H73+H90+H107+H125+H140+H157+H174+H191+H206</f>
        <v>0</v>
      </c>
      <c r="I225" s="25">
        <f>I21+I38+I55+I73+I90+I107+I125+I140+I157+I174+I191+I206</f>
        <v>0</v>
      </c>
      <c r="J225" s="25">
        <f>J21+J38+J55+J73+J90+J107+J125+J140+J157+J174+J191+J206</f>
        <v>0</v>
      </c>
      <c r="K225" s="25">
        <f>K21+K38+K55+K73+K90+K107+K125+K140+K157+K174+K191+K206</f>
        <v>627.7</v>
      </c>
      <c r="L225" s="27"/>
      <c r="M225" s="27"/>
      <c r="N225" s="57"/>
      <c r="O225" s="57"/>
      <c r="P225" s="24" t="e">
        <f t="shared" si="89"/>
        <v>#DIV/0!</v>
      </c>
      <c r="Q225" s="27"/>
      <c r="R225" s="25"/>
      <c r="S225" s="25"/>
    </row>
    <row r="226" spans="1:19" ht="12.75">
      <c r="A226" s="32" t="s">
        <v>1</v>
      </c>
      <c r="B226" s="48"/>
      <c r="C226" s="39" t="s">
        <v>0</v>
      </c>
      <c r="D226" s="40">
        <f aca="true" t="shared" si="91" ref="D226:K226">D227+D228+D229</f>
        <v>2394102</v>
      </c>
      <c r="E226" s="40">
        <f t="shared" si="91"/>
        <v>2459925.5</v>
      </c>
      <c r="F226" s="40">
        <f t="shared" si="91"/>
        <v>1321581.2</v>
      </c>
      <c r="G226" s="40">
        <f t="shared" si="91"/>
        <v>594843.1</v>
      </c>
      <c r="H226" s="40">
        <f t="shared" si="91"/>
        <v>726738.1</v>
      </c>
      <c r="I226" s="40">
        <f t="shared" si="91"/>
        <v>524527.6</v>
      </c>
      <c r="J226" s="40">
        <f t="shared" si="91"/>
        <v>613816.7</v>
      </c>
      <c r="K226" s="40">
        <f t="shared" si="91"/>
        <v>1011463.7</v>
      </c>
      <c r="L226" s="34" t="e">
        <f>K226/#REF!*100</f>
        <v>#REF!</v>
      </c>
      <c r="M226" s="34">
        <f>K226/I226*100</f>
        <v>192.8332655898374</v>
      </c>
      <c r="N226" s="57"/>
      <c r="O226" s="57"/>
      <c r="P226" s="43">
        <f t="shared" si="89"/>
        <v>164.78269489898207</v>
      </c>
      <c r="Q226" s="34">
        <f t="shared" si="86"/>
        <v>76.53435899360554</v>
      </c>
      <c r="R226" s="31">
        <f>K226*100/E226</f>
        <v>41.11765579892562</v>
      </c>
      <c r="S226" s="31">
        <f t="shared" si="79"/>
        <v>42.24814565127133</v>
      </c>
    </row>
    <row r="227" spans="1:19" ht="24">
      <c r="A227" s="21" t="s">
        <v>67</v>
      </c>
      <c r="B227" s="47" t="s">
        <v>51</v>
      </c>
      <c r="C227" s="41" t="s">
        <v>20</v>
      </c>
      <c r="D227" s="24">
        <f>D23</f>
        <v>2384102</v>
      </c>
      <c r="E227" s="44">
        <f t="shared" si="85"/>
        <v>2434253.8</v>
      </c>
      <c r="F227" s="66">
        <f t="shared" si="84"/>
        <v>1300909.5</v>
      </c>
      <c r="G227" s="24">
        <f>G23-366.1</f>
        <v>596671.4</v>
      </c>
      <c r="H227" s="24">
        <f>H23</f>
        <v>704238.1</v>
      </c>
      <c r="I227" s="24">
        <f>I23</f>
        <v>522027.6</v>
      </c>
      <c r="J227" s="24">
        <f>J23</f>
        <v>611316.7</v>
      </c>
      <c r="K227" s="24">
        <f>K23-14</f>
        <v>1012056.2</v>
      </c>
      <c r="L227" s="27" t="e">
        <f>K227/#REF!*100</f>
        <v>#REF!</v>
      </c>
      <c r="M227" s="27">
        <f>K227/I227*100</f>
        <v>193.87024747350523</v>
      </c>
      <c r="N227" s="57"/>
      <c r="O227" s="57"/>
      <c r="P227" s="24">
        <f t="shared" si="89"/>
        <v>165.55350115578392</v>
      </c>
      <c r="Q227" s="27">
        <f t="shared" si="86"/>
        <v>77.79604960990753</v>
      </c>
      <c r="R227" s="25">
        <f t="shared" si="87"/>
        <v>41.57562370858783</v>
      </c>
      <c r="S227" s="25">
        <f t="shared" si="79"/>
        <v>42.450205570063694</v>
      </c>
    </row>
    <row r="228" spans="1:19" ht="12.75">
      <c r="A228" s="21" t="s">
        <v>2</v>
      </c>
      <c r="B228" s="21" t="s">
        <v>52</v>
      </c>
      <c r="C228" s="42" t="s">
        <v>19</v>
      </c>
      <c r="D228" s="25">
        <f>D24+D94+D177+D76</f>
        <v>10000</v>
      </c>
      <c r="E228" s="44">
        <f t="shared" si="85"/>
        <v>30060</v>
      </c>
      <c r="F228" s="66">
        <f t="shared" si="84"/>
        <v>25060</v>
      </c>
      <c r="G228" s="25">
        <f>G24+G94+G177+G76</f>
        <v>2560</v>
      </c>
      <c r="H228" s="25">
        <f>H24+H94+H177+H76</f>
        <v>22500</v>
      </c>
      <c r="I228" s="25">
        <f>I24+I94+I177+I76</f>
        <v>2500</v>
      </c>
      <c r="J228" s="25">
        <f>J24+J94+J177+J76</f>
        <v>2500</v>
      </c>
      <c r="K228" s="25">
        <f>K24+K94+K177+K76</f>
        <v>5782.6</v>
      </c>
      <c r="L228" s="27" t="e">
        <f>K228/#REF!*100</f>
        <v>#REF!</v>
      </c>
      <c r="M228" s="27">
        <f>K228/I228*100</f>
        <v>231.304</v>
      </c>
      <c r="N228" s="57"/>
      <c r="O228" s="57"/>
      <c r="P228" s="24">
        <f t="shared" si="89"/>
        <v>231.304</v>
      </c>
      <c r="Q228" s="27">
        <f t="shared" si="86"/>
        <v>23.075019952114925</v>
      </c>
      <c r="R228" s="25">
        <f t="shared" si="87"/>
        <v>19.23685961410512</v>
      </c>
      <c r="S228" s="25">
        <f t="shared" si="79"/>
        <v>57.826</v>
      </c>
    </row>
    <row r="229" spans="1:19" ht="24">
      <c r="A229" s="21" t="s">
        <v>66</v>
      </c>
      <c r="B229" s="22"/>
      <c r="C229" s="26" t="s">
        <v>63</v>
      </c>
      <c r="D229" s="25">
        <f>D26</f>
        <v>0</v>
      </c>
      <c r="E229" s="44">
        <f t="shared" si="85"/>
        <v>-4388.3</v>
      </c>
      <c r="F229" s="66">
        <f t="shared" si="84"/>
        <v>-4388.3</v>
      </c>
      <c r="G229" s="25">
        <f>G26+G41</f>
        <v>-4388.3</v>
      </c>
      <c r="H229" s="25">
        <f>H26</f>
        <v>0</v>
      </c>
      <c r="I229" s="25">
        <f>I26</f>
        <v>0</v>
      </c>
      <c r="J229" s="25">
        <f>J26</f>
        <v>0</v>
      </c>
      <c r="K229" s="25">
        <f>K26</f>
        <v>-6375.1</v>
      </c>
      <c r="L229" s="27" t="e">
        <f>K229/#REF!*100</f>
        <v>#REF!</v>
      </c>
      <c r="M229" s="27"/>
      <c r="N229" s="57"/>
      <c r="O229" s="57"/>
      <c r="P229" s="24" t="e">
        <f t="shared" si="89"/>
        <v>#DIV/0!</v>
      </c>
      <c r="Q229" s="27">
        <f>K229*100/F229</f>
        <v>145.27493562427364</v>
      </c>
      <c r="R229" s="25">
        <f>K229*100/E229</f>
        <v>145.27493562427364</v>
      </c>
      <c r="S229" s="25"/>
    </row>
    <row r="230" spans="1:19" ht="12.75">
      <c r="A230" s="28"/>
      <c r="B230" s="29"/>
      <c r="C230" s="30" t="s">
        <v>4</v>
      </c>
      <c r="D230" s="31">
        <f>D226+D212</f>
        <v>3333896.6</v>
      </c>
      <c r="E230" s="31">
        <f>E226+E212</f>
        <v>3400217.3</v>
      </c>
      <c r="F230" s="31">
        <f aca="true" t="shared" si="92" ref="F230:K230">F226+F212</f>
        <v>1794827.5999999999</v>
      </c>
      <c r="G230" s="31">
        <f t="shared" si="92"/>
        <v>814369.2</v>
      </c>
      <c r="H230" s="31">
        <f t="shared" si="92"/>
        <v>980458.4</v>
      </c>
      <c r="I230" s="31">
        <f t="shared" si="92"/>
        <v>744212.7</v>
      </c>
      <c r="J230" s="31">
        <f t="shared" si="92"/>
        <v>861176.9999999999</v>
      </c>
      <c r="K230" s="31">
        <f t="shared" si="92"/>
        <v>1454489.3</v>
      </c>
      <c r="L230" s="34" t="e">
        <f>K230/#REF!*100</f>
        <v>#REF!</v>
      </c>
      <c r="M230" s="34">
        <f>K230/I230*100</f>
        <v>195.43999988175423</v>
      </c>
      <c r="N230" s="57"/>
      <c r="O230" s="58" t="e">
        <f>J230+#REF!+#REF!</f>
        <v>#REF!</v>
      </c>
      <c r="P230" s="43">
        <f t="shared" si="89"/>
        <v>168.89551160795054</v>
      </c>
      <c r="Q230" s="34">
        <f t="shared" si="86"/>
        <v>81.0378278114288</v>
      </c>
      <c r="R230" s="31">
        <f t="shared" si="87"/>
        <v>42.776363145967174</v>
      </c>
      <c r="S230" s="31">
        <f t="shared" si="79"/>
        <v>43.62730685768719</v>
      </c>
    </row>
    <row r="231" spans="3:9" ht="12.75">
      <c r="C231" s="8"/>
      <c r="D231" s="8"/>
      <c r="E231" s="8"/>
      <c r="F231" s="8"/>
      <c r="G231" s="8"/>
      <c r="H231" s="8"/>
      <c r="I231" s="2"/>
    </row>
    <row r="232" spans="3:12" ht="12.75">
      <c r="C232" s="9" t="s">
        <v>59</v>
      </c>
      <c r="D232" s="9"/>
      <c r="E232" s="9"/>
      <c r="F232" s="9"/>
      <c r="G232" s="9"/>
      <c r="H232" s="9"/>
      <c r="I232" s="3"/>
      <c r="J232" s="3"/>
      <c r="K232" s="5"/>
      <c r="L232" s="5"/>
    </row>
    <row r="233" spans="3:13" ht="12.75" hidden="1">
      <c r="C233" s="9"/>
      <c r="D233" s="9"/>
      <c r="E233" s="9"/>
      <c r="F233" s="9"/>
      <c r="G233" s="9"/>
      <c r="H233" s="9"/>
      <c r="I233" s="3" t="s">
        <v>62</v>
      </c>
      <c r="J233" s="3">
        <f>J232-J212</f>
        <v>-247360.29999999996</v>
      </c>
      <c r="K233" s="4"/>
      <c r="L233" s="5"/>
      <c r="M233" s="2" t="e">
        <f>O27+O42+O60+O77+O95+O111+O128+O144+O161+O178+O194+O209-#REF!-#REF!-#REF!-#REF!-#REF!-#REF!-#REF!-#REF!-#REF!-#REF!-#REF!-#REF!-5301.3-7951.9-535.1-7243.1</f>
        <v>#REF!</v>
      </c>
    </row>
    <row r="234" spans="1:13" ht="12.75" hidden="1">
      <c r="A234" s="2"/>
      <c r="C234" s="9"/>
      <c r="D234" s="9"/>
      <c r="E234" s="9"/>
      <c r="F234" s="9"/>
      <c r="G234" s="9"/>
      <c r="H234" s="9"/>
      <c r="I234" s="6"/>
      <c r="J234" s="3"/>
      <c r="K234" s="5"/>
      <c r="L234" s="5"/>
      <c r="M234" s="2" t="e">
        <f>O230-M233</f>
        <v>#REF!</v>
      </c>
    </row>
    <row r="235" spans="3:12" ht="12.75" hidden="1">
      <c r="C235" s="10"/>
      <c r="D235" s="10"/>
      <c r="E235" s="10"/>
      <c r="F235" s="10"/>
      <c r="G235" s="10"/>
      <c r="H235" s="10"/>
      <c r="I235" s="3"/>
      <c r="J235" s="3">
        <f>J234-J226</f>
        <v>-613816.7</v>
      </c>
      <c r="K235" s="5"/>
      <c r="L235" s="5"/>
    </row>
    <row r="236" spans="3:12" ht="12.75" hidden="1">
      <c r="C236" s="10"/>
      <c r="D236" s="10"/>
      <c r="E236" s="10"/>
      <c r="F236" s="10"/>
      <c r="G236" s="10"/>
      <c r="H236" s="10"/>
      <c r="I236" s="6"/>
      <c r="J236" s="3" t="e">
        <f>#REF!+#REF!+#REF!+#REF!+#REF!+#REF!+#REF!+#REF!+#REF!+#REF!</f>
        <v>#REF!</v>
      </c>
      <c r="K236" s="5"/>
      <c r="L236" s="5"/>
    </row>
    <row r="237" spans="1:12" ht="12.75" hidden="1">
      <c r="A237" s="2">
        <f>J212+J226</f>
        <v>861176.9999999999</v>
      </c>
      <c r="C237" s="18"/>
      <c r="D237" s="18"/>
      <c r="E237" s="18"/>
      <c r="F237" s="18"/>
      <c r="G237" s="18"/>
      <c r="H237" s="18"/>
      <c r="I237" s="6"/>
      <c r="J237" s="3" t="e">
        <f>J236-#REF!</f>
        <v>#REF!</v>
      </c>
      <c r="K237" s="5"/>
      <c r="L237" s="5"/>
    </row>
    <row r="238" spans="1:12" ht="12.75" hidden="1">
      <c r="A238" s="2" t="e">
        <f>#REF!+#REF!</f>
        <v>#REF!</v>
      </c>
      <c r="C238" s="10"/>
      <c r="D238" s="10"/>
      <c r="E238" s="10"/>
      <c r="F238" s="10"/>
      <c r="G238" s="10"/>
      <c r="H238" s="10"/>
      <c r="I238" s="6"/>
      <c r="J238" s="3" t="e">
        <f>J232+J234+J236</f>
        <v>#REF!</v>
      </c>
      <c r="K238" s="5"/>
      <c r="L238" s="5"/>
    </row>
    <row r="239" spans="1:12" ht="12.75" hidden="1">
      <c r="A239" s="2" t="e">
        <f>J212+#REF!</f>
        <v>#REF!</v>
      </c>
      <c r="C239" s="9"/>
      <c r="D239" s="9"/>
      <c r="E239" s="9"/>
      <c r="F239" s="9"/>
      <c r="G239" s="9"/>
      <c r="H239" s="9"/>
      <c r="I239" s="6"/>
      <c r="J239" s="3">
        <f>J27+J42+J60+J77+J95+J111+J128+J144+J161+J178+J194+J209-J207-J192-J175-J158-J141-J126-J108-J92-J74-J39-J56</f>
        <v>861176.9999999999</v>
      </c>
      <c r="K239" s="5"/>
      <c r="L239" s="5"/>
    </row>
    <row r="240" spans="1:12" ht="12.75" hidden="1">
      <c r="A240" s="2" t="e">
        <f>J226+#REF!</f>
        <v>#REF!</v>
      </c>
      <c r="C240" s="9"/>
      <c r="D240" s="9"/>
      <c r="E240" s="9"/>
      <c r="F240" s="9"/>
      <c r="G240" s="9"/>
      <c r="H240" s="9"/>
      <c r="I240" s="6"/>
      <c r="J240" s="3">
        <f>J239-J230</f>
        <v>0</v>
      </c>
      <c r="K240" s="5"/>
      <c r="L240" s="5"/>
    </row>
    <row r="241" spans="3:12" ht="12.75" hidden="1">
      <c r="C241" s="9"/>
      <c r="D241" s="9"/>
      <c r="E241" s="9"/>
      <c r="F241" s="9"/>
      <c r="G241" s="9"/>
      <c r="H241" s="9"/>
      <c r="I241" s="6"/>
      <c r="J241" s="3"/>
      <c r="K241" s="5"/>
      <c r="L241" s="5"/>
    </row>
    <row r="242" spans="3:12" ht="12.75" hidden="1">
      <c r="C242" s="8"/>
      <c r="D242" s="8"/>
      <c r="E242" s="8"/>
      <c r="F242" s="8"/>
      <c r="G242" s="8"/>
      <c r="H242" s="8"/>
      <c r="I242" s="5"/>
      <c r="J242" s="4"/>
      <c r="K242" s="5"/>
      <c r="L242" s="5"/>
    </row>
    <row r="243" spans="3:12" ht="12.75">
      <c r="C243" s="8"/>
      <c r="D243" s="8"/>
      <c r="E243" s="8"/>
      <c r="F243" s="8"/>
      <c r="G243" s="61">
        <f>G8+G30+G45+G63+G80+G98+G114+G131+G147+G164+G181+G197</f>
        <v>219526.09999999998</v>
      </c>
      <c r="H243" s="61">
        <f>H8+H30+H45+H63+H80+H98+H114+H131+H147+H164+H181+H197</f>
        <v>253720.30000000005</v>
      </c>
      <c r="I243" s="61">
        <f>I8+I30+I45+I63+I80+I98+I114+I131+I147+I164+I181+I197</f>
        <v>219685.1</v>
      </c>
      <c r="J243" s="61">
        <f>J8+J30+J45+J63+J80+J98+J114+J131+J147+J164+J181+J197</f>
        <v>247360.2999999999</v>
      </c>
      <c r="K243" s="61"/>
      <c r="L243" s="5"/>
    </row>
    <row r="244" spans="3:12" ht="12.75">
      <c r="C244" s="8"/>
      <c r="D244" s="8"/>
      <c r="E244" s="8"/>
      <c r="F244" s="8"/>
      <c r="G244" s="8"/>
      <c r="H244" s="8"/>
      <c r="I244" s="5"/>
      <c r="J244" s="4"/>
      <c r="K244" s="5"/>
      <c r="L244" s="5"/>
    </row>
    <row r="245" spans="3:12" ht="12.75">
      <c r="C245" s="8"/>
      <c r="D245" s="61"/>
      <c r="E245" s="61"/>
      <c r="F245" s="8"/>
      <c r="G245" s="61"/>
      <c r="H245" s="61"/>
      <c r="I245" s="61"/>
      <c r="J245" s="61"/>
      <c r="K245" s="61"/>
      <c r="L245" s="5"/>
    </row>
    <row r="246" spans="9:12" ht="12.75">
      <c r="I246" s="5"/>
      <c r="J246" s="4"/>
      <c r="K246" s="5"/>
      <c r="L246" s="5"/>
    </row>
    <row r="247" spans="9:12" ht="12.75">
      <c r="I247" s="5"/>
      <c r="J247" s="4"/>
      <c r="K247" s="5"/>
      <c r="L247" s="5"/>
    </row>
    <row r="248" spans="9:12" ht="12.75">
      <c r="I248" s="5"/>
      <c r="J248" s="4"/>
      <c r="K248" s="5"/>
      <c r="L248" s="5"/>
    </row>
    <row r="249" spans="3:12" ht="12.75">
      <c r="C249" s="8"/>
      <c r="D249" s="8"/>
      <c r="E249" s="8"/>
      <c r="F249" s="8"/>
      <c r="G249" s="8"/>
      <c r="H249" s="8"/>
      <c r="I249" s="5"/>
      <c r="J249" s="4"/>
      <c r="K249" s="5"/>
      <c r="L249" s="5"/>
    </row>
    <row r="250" spans="3:12" ht="12.75">
      <c r="C250" s="8"/>
      <c r="D250" s="8"/>
      <c r="E250" s="8"/>
      <c r="F250" s="8"/>
      <c r="G250" s="8"/>
      <c r="H250" s="8"/>
      <c r="I250" s="5"/>
      <c r="J250" s="4"/>
      <c r="K250" s="5"/>
      <c r="L250" s="5"/>
    </row>
    <row r="251" spans="3:12" ht="12.75">
      <c r="C251" s="8"/>
      <c r="D251" s="8"/>
      <c r="E251" s="8"/>
      <c r="F251" s="8"/>
      <c r="G251" s="8"/>
      <c r="H251" s="8"/>
      <c r="I251" s="5"/>
      <c r="J251" s="4"/>
      <c r="K251" s="5"/>
      <c r="L251" s="5"/>
    </row>
    <row r="252" spans="3:12" ht="12.75">
      <c r="C252" s="8"/>
      <c r="D252" s="8"/>
      <c r="E252" s="8"/>
      <c r="F252" s="8"/>
      <c r="G252" s="8"/>
      <c r="H252" s="8"/>
      <c r="I252" s="5"/>
      <c r="J252" s="4"/>
      <c r="K252" s="5"/>
      <c r="L252" s="5"/>
    </row>
    <row r="253" spans="3:12" ht="12.75">
      <c r="C253" s="8"/>
      <c r="D253" s="8"/>
      <c r="E253" s="8"/>
      <c r="F253" s="8"/>
      <c r="G253" s="8"/>
      <c r="H253" s="8"/>
      <c r="I253" s="4"/>
      <c r="J253" s="4"/>
      <c r="K253" s="4"/>
      <c r="L253" s="5"/>
    </row>
    <row r="254" spans="3:12" ht="12.75">
      <c r="C254" s="8"/>
      <c r="D254" s="8"/>
      <c r="E254" s="8"/>
      <c r="F254" s="8"/>
      <c r="G254" s="8"/>
      <c r="H254" s="8"/>
      <c r="I254" s="5"/>
      <c r="J254" s="5"/>
      <c r="K254" s="5"/>
      <c r="L254" s="5"/>
    </row>
    <row r="255" spans="3:12" ht="12.75">
      <c r="C255" s="8"/>
      <c r="D255" s="8"/>
      <c r="E255" s="8"/>
      <c r="F255" s="8"/>
      <c r="G255" s="8"/>
      <c r="H255" s="8"/>
      <c r="I255" s="7"/>
      <c r="J255" s="4"/>
      <c r="K255" s="5"/>
      <c r="L255" s="5"/>
    </row>
  </sheetData>
  <sheetProtection/>
  <mergeCells count="43">
    <mergeCell ref="A1:S1"/>
    <mergeCell ref="A211:S211"/>
    <mergeCell ref="A196:S196"/>
    <mergeCell ref="A180:S180"/>
    <mergeCell ref="A163:S163"/>
    <mergeCell ref="A146:S146"/>
    <mergeCell ref="A130:S130"/>
    <mergeCell ref="A210:M210"/>
    <mergeCell ref="A195:M195"/>
    <mergeCell ref="A162:M162"/>
    <mergeCell ref="A179:M179"/>
    <mergeCell ref="A2:M2"/>
    <mergeCell ref="A96:M96"/>
    <mergeCell ref="A112:M112"/>
    <mergeCell ref="C43:M43"/>
    <mergeCell ref="A28:M28"/>
    <mergeCell ref="A7:S7"/>
    <mergeCell ref="A145:M145"/>
    <mergeCell ref="A129:M129"/>
    <mergeCell ref="A61:M61"/>
    <mergeCell ref="A97:S97"/>
    <mergeCell ref="A79:S79"/>
    <mergeCell ref="A62:S62"/>
    <mergeCell ref="A113:S113"/>
    <mergeCell ref="A44:S44"/>
    <mergeCell ref="A78:M78"/>
    <mergeCell ref="G4:G6"/>
    <mergeCell ref="H4:H6"/>
    <mergeCell ref="I4:I6"/>
    <mergeCell ref="J4:J6"/>
    <mergeCell ref="R4:R6"/>
    <mergeCell ref="Q4:Q6"/>
    <mergeCell ref="K4:K6"/>
    <mergeCell ref="A29:S29"/>
    <mergeCell ref="L4:L6"/>
    <mergeCell ref="M4:M6"/>
    <mergeCell ref="N4:N6"/>
    <mergeCell ref="O4:O6"/>
    <mergeCell ref="P4:P6"/>
    <mergeCell ref="E4:E6"/>
    <mergeCell ref="D4:D6"/>
    <mergeCell ref="S4:S6"/>
    <mergeCell ref="F4:F6"/>
  </mergeCells>
  <printOptions/>
  <pageMargins left="0" right="0" top="0.15748031496062992" bottom="0.15748031496062992" header="0.15748031496062992" footer="0.1968503937007874"/>
  <pageSetup fitToHeight="7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1">
      <selection activeCell="A1" sqref="A1:K114"/>
    </sheetView>
  </sheetViews>
  <sheetFormatPr defaultColWidth="9.00390625" defaultRowHeight="12.75"/>
  <cols>
    <col min="2" max="2" width="54.125" style="0" customWidth="1"/>
    <col min="3" max="4" width="13.375" style="0" customWidth="1"/>
    <col min="6" max="7" width="13.375" style="0" customWidth="1"/>
    <col min="9" max="10" width="15.00390625" style="0" customWidth="1"/>
  </cols>
  <sheetData>
    <row r="1" spans="1:11" ht="15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thickBot="1">
      <c r="A2" s="107"/>
      <c r="B2" s="108"/>
      <c r="C2" s="109"/>
      <c r="D2" s="110"/>
      <c r="E2" s="111"/>
      <c r="F2" s="112"/>
      <c r="G2" s="113"/>
      <c r="H2" s="113"/>
      <c r="I2" s="114"/>
      <c r="J2" s="115"/>
      <c r="K2" s="115"/>
    </row>
    <row r="3" spans="1:11" ht="15">
      <c r="A3" s="116" t="s">
        <v>90</v>
      </c>
      <c r="B3" s="117" t="s">
        <v>91</v>
      </c>
      <c r="C3" s="118" t="s">
        <v>92</v>
      </c>
      <c r="D3" s="118"/>
      <c r="E3" s="118"/>
      <c r="F3" s="119" t="s">
        <v>93</v>
      </c>
      <c r="G3" s="119"/>
      <c r="H3" s="119"/>
      <c r="I3" s="120" t="s">
        <v>94</v>
      </c>
      <c r="J3" s="120"/>
      <c r="K3" s="121"/>
    </row>
    <row r="4" spans="1:11" ht="12.75">
      <c r="A4" s="122"/>
      <c r="B4" s="123"/>
      <c r="C4" s="124" t="s">
        <v>95</v>
      </c>
      <c r="D4" s="124" t="s">
        <v>96</v>
      </c>
      <c r="E4" s="124" t="s">
        <v>97</v>
      </c>
      <c r="F4" s="124" t="s">
        <v>95</v>
      </c>
      <c r="G4" s="125" t="s">
        <v>96</v>
      </c>
      <c r="H4" s="125" t="s">
        <v>97</v>
      </c>
      <c r="I4" s="126" t="s">
        <v>95</v>
      </c>
      <c r="J4" s="127" t="s">
        <v>98</v>
      </c>
      <c r="K4" s="128" t="s">
        <v>97</v>
      </c>
    </row>
    <row r="5" spans="1:11" ht="12.75">
      <c r="A5" s="122"/>
      <c r="B5" s="123"/>
      <c r="C5" s="129"/>
      <c r="D5" s="124"/>
      <c r="E5" s="130"/>
      <c r="F5" s="129"/>
      <c r="G5" s="125"/>
      <c r="H5" s="129"/>
      <c r="I5" s="131"/>
      <c r="J5" s="127"/>
      <c r="K5" s="132"/>
    </row>
    <row r="6" spans="1:11" ht="12.75">
      <c r="A6" s="122"/>
      <c r="B6" s="133" t="s">
        <v>99</v>
      </c>
      <c r="C6" s="133"/>
      <c r="D6" s="133"/>
      <c r="E6" s="133"/>
      <c r="F6" s="133"/>
      <c r="G6" s="133"/>
      <c r="H6" s="133"/>
      <c r="I6" s="133"/>
      <c r="J6" s="133"/>
      <c r="K6" s="134"/>
    </row>
    <row r="7" spans="1:11" ht="12.75">
      <c r="A7" s="122"/>
      <c r="B7" s="133"/>
      <c r="C7" s="133"/>
      <c r="D7" s="133"/>
      <c r="E7" s="133"/>
      <c r="F7" s="133"/>
      <c r="G7" s="133"/>
      <c r="H7" s="133"/>
      <c r="I7" s="133"/>
      <c r="J7" s="133"/>
      <c r="K7" s="134"/>
    </row>
    <row r="8" spans="1:11" ht="12.75">
      <c r="A8" s="122"/>
      <c r="B8" s="133"/>
      <c r="C8" s="133"/>
      <c r="D8" s="133"/>
      <c r="E8" s="133"/>
      <c r="F8" s="133"/>
      <c r="G8" s="133"/>
      <c r="H8" s="133"/>
      <c r="I8" s="133"/>
      <c r="J8" s="133"/>
      <c r="K8" s="134"/>
    </row>
    <row r="9" spans="1:11" ht="15">
      <c r="A9" s="135" t="s">
        <v>100</v>
      </c>
      <c r="B9" s="136" t="s">
        <v>101</v>
      </c>
      <c r="C9" s="137">
        <f>SUM(C10:C17)</f>
        <v>247640.5</v>
      </c>
      <c r="D9" s="137">
        <f>SUM(D10:D17)</f>
        <v>111490.29999999999</v>
      </c>
      <c r="E9" s="137">
        <f>D9/C9*100</f>
        <v>45.02102846666841</v>
      </c>
      <c r="F9" s="137">
        <f>F10+F11+F12+F13+F14+F16+F17+F15</f>
        <v>210508.6</v>
      </c>
      <c r="G9" s="137">
        <f>SUM(G10:G17)</f>
        <v>91828.70000000001</v>
      </c>
      <c r="H9" s="138">
        <f>G9/F9*100</f>
        <v>43.622303316824116</v>
      </c>
      <c r="I9" s="137">
        <f>SUM(I10:I17)</f>
        <v>457712.9999999999</v>
      </c>
      <c r="J9" s="137">
        <f>SUM(J10:J17)</f>
        <v>203305</v>
      </c>
      <c r="K9" s="139">
        <f>J9/I9*100</f>
        <v>44.41757170978322</v>
      </c>
    </row>
    <row r="10" spans="1:11" ht="15">
      <c r="A10" s="140" t="s">
        <v>102</v>
      </c>
      <c r="B10" s="141" t="s">
        <v>103</v>
      </c>
      <c r="C10" s="142">
        <v>4263</v>
      </c>
      <c r="D10" s="142">
        <v>2226.2</v>
      </c>
      <c r="E10" s="142">
        <f>D10/C10*100</f>
        <v>52.221440300258024</v>
      </c>
      <c r="F10" s="143">
        <v>42010.2</v>
      </c>
      <c r="G10" s="143">
        <v>19386.7</v>
      </c>
      <c r="H10" s="143">
        <f>G10/F10*100</f>
        <v>46.147602248977634</v>
      </c>
      <c r="I10" s="144">
        <f aca="true" t="shared" si="0" ref="I10:J75">C10+F10</f>
        <v>46273.2</v>
      </c>
      <c r="J10" s="145">
        <f t="shared" si="0"/>
        <v>21612.9</v>
      </c>
      <c r="K10" s="146">
        <f aca="true" t="shared" si="1" ref="K10:K77">J10/I10*100</f>
        <v>46.707165270610204</v>
      </c>
    </row>
    <row r="11" spans="1:11" ht="30">
      <c r="A11" s="140" t="s">
        <v>104</v>
      </c>
      <c r="B11" s="141" t="s">
        <v>105</v>
      </c>
      <c r="C11" s="142">
        <v>6916.9</v>
      </c>
      <c r="D11" s="142">
        <v>3738.6</v>
      </c>
      <c r="E11" s="142">
        <f aca="true" t="shared" si="2" ref="E11:E19">D11/C11*100</f>
        <v>54.050224811693106</v>
      </c>
      <c r="F11" s="143">
        <v>0</v>
      </c>
      <c r="G11" s="143"/>
      <c r="H11" s="143">
        <v>0</v>
      </c>
      <c r="I11" s="144">
        <f t="shared" si="0"/>
        <v>6916.9</v>
      </c>
      <c r="J11" s="145">
        <f t="shared" si="0"/>
        <v>3738.6</v>
      </c>
      <c r="K11" s="146">
        <f t="shared" si="1"/>
        <v>54.050224811693106</v>
      </c>
    </row>
    <row r="12" spans="1:11" ht="15">
      <c r="A12" s="140" t="s">
        <v>106</v>
      </c>
      <c r="B12" s="141" t="s">
        <v>107</v>
      </c>
      <c r="C12" s="142">
        <v>144380</v>
      </c>
      <c r="D12" s="142">
        <v>64257.7</v>
      </c>
      <c r="E12" s="142">
        <f t="shared" si="2"/>
        <v>44.505956503670866</v>
      </c>
      <c r="F12" s="143">
        <v>123941.6</v>
      </c>
      <c r="G12" s="143">
        <v>54100.9</v>
      </c>
      <c r="H12" s="143">
        <f>G12/F12*100</f>
        <v>43.650315955256346</v>
      </c>
      <c r="I12" s="144">
        <f t="shared" si="0"/>
        <v>268321.6</v>
      </c>
      <c r="J12" s="145">
        <f t="shared" si="0"/>
        <v>118358.6</v>
      </c>
      <c r="K12" s="146">
        <f t="shared" si="1"/>
        <v>44.11072384780056</v>
      </c>
    </row>
    <row r="13" spans="1:11" ht="15">
      <c r="A13" s="140" t="s">
        <v>108</v>
      </c>
      <c r="B13" s="141" t="s">
        <v>109</v>
      </c>
      <c r="C13" s="142">
        <v>70.8</v>
      </c>
      <c r="D13" s="142">
        <v>0</v>
      </c>
      <c r="E13" s="142">
        <f t="shared" si="2"/>
        <v>0</v>
      </c>
      <c r="F13" s="143">
        <v>0</v>
      </c>
      <c r="G13" s="143"/>
      <c r="H13" s="143">
        <v>0</v>
      </c>
      <c r="I13" s="144">
        <f t="shared" si="0"/>
        <v>70.8</v>
      </c>
      <c r="J13" s="145">
        <f t="shared" si="0"/>
        <v>0</v>
      </c>
      <c r="K13" s="146">
        <f t="shared" si="1"/>
        <v>0</v>
      </c>
    </row>
    <row r="14" spans="1:11" ht="15">
      <c r="A14" s="140" t="s">
        <v>110</v>
      </c>
      <c r="B14" s="141" t="s">
        <v>111</v>
      </c>
      <c r="C14" s="142">
        <v>26821.6</v>
      </c>
      <c r="D14" s="142">
        <v>14710.7</v>
      </c>
      <c r="E14" s="142">
        <f t="shared" si="2"/>
        <v>54.846467026575596</v>
      </c>
      <c r="F14" s="143">
        <v>0</v>
      </c>
      <c r="G14" s="143"/>
      <c r="H14" s="143">
        <v>0</v>
      </c>
      <c r="I14" s="144">
        <f>C14+F14</f>
        <v>26821.6</v>
      </c>
      <c r="J14" s="145">
        <f>D14+G14</f>
        <v>14710.7</v>
      </c>
      <c r="K14" s="146">
        <f t="shared" si="1"/>
        <v>54.846467026575596</v>
      </c>
    </row>
    <row r="15" spans="1:11" ht="15">
      <c r="A15" s="140" t="s">
        <v>112</v>
      </c>
      <c r="B15" s="141" t="s">
        <v>113</v>
      </c>
      <c r="C15" s="142"/>
      <c r="D15" s="142"/>
      <c r="E15" s="142"/>
      <c r="F15" s="143">
        <v>7900</v>
      </c>
      <c r="G15" s="143">
        <v>52.3</v>
      </c>
      <c r="H15" s="143">
        <f>G15/F15*100</f>
        <v>0.6620253164556962</v>
      </c>
      <c r="I15" s="144">
        <f>C15+F15</f>
        <v>7900</v>
      </c>
      <c r="J15" s="145">
        <f>D15+G15</f>
        <v>52.3</v>
      </c>
      <c r="K15" s="146">
        <f t="shared" si="1"/>
        <v>0.6620253164556962</v>
      </c>
    </row>
    <row r="16" spans="1:11" ht="15">
      <c r="A16" s="147" t="s">
        <v>114</v>
      </c>
      <c r="B16" s="141" t="s">
        <v>115</v>
      </c>
      <c r="C16" s="142">
        <v>4036</v>
      </c>
      <c r="D16" s="142"/>
      <c r="E16" s="142">
        <f t="shared" si="2"/>
        <v>0</v>
      </c>
      <c r="F16" s="143">
        <v>951.7</v>
      </c>
      <c r="G16" s="143"/>
      <c r="H16" s="143">
        <f>G16/F16*100</f>
        <v>0</v>
      </c>
      <c r="I16" s="144">
        <f t="shared" si="0"/>
        <v>4987.7</v>
      </c>
      <c r="J16" s="145">
        <f t="shared" si="0"/>
        <v>0</v>
      </c>
      <c r="K16" s="146">
        <f t="shared" si="1"/>
        <v>0</v>
      </c>
    </row>
    <row r="17" spans="1:11" ht="15">
      <c r="A17" s="140" t="s">
        <v>116</v>
      </c>
      <c r="B17" s="141" t="s">
        <v>117</v>
      </c>
      <c r="C17" s="142">
        <v>61152.2</v>
      </c>
      <c r="D17" s="142">
        <v>26557.1</v>
      </c>
      <c r="E17" s="142">
        <f t="shared" si="2"/>
        <v>43.42787340439101</v>
      </c>
      <c r="F17" s="143">
        <v>35705.1</v>
      </c>
      <c r="G17" s="143">
        <v>18288.8</v>
      </c>
      <c r="H17" s="143">
        <f>G17/F17*100</f>
        <v>51.221814250625265</v>
      </c>
      <c r="I17" s="144">
        <f>C17+F17-366.1-70</f>
        <v>96421.19999999998</v>
      </c>
      <c r="J17" s="145">
        <f>D17+G17-14</f>
        <v>44831.899999999994</v>
      </c>
      <c r="K17" s="146">
        <f t="shared" si="1"/>
        <v>46.49589509361012</v>
      </c>
    </row>
    <row r="18" spans="1:11" ht="15">
      <c r="A18" s="135" t="s">
        <v>118</v>
      </c>
      <c r="B18" s="136" t="s">
        <v>119</v>
      </c>
      <c r="C18" s="137">
        <f aca="true" t="shared" si="3" ref="C18:J18">C19</f>
        <v>3597.2</v>
      </c>
      <c r="D18" s="137">
        <f t="shared" si="3"/>
        <v>1179.2</v>
      </c>
      <c r="E18" s="137">
        <f t="shared" si="3"/>
        <v>32.781051929278334</v>
      </c>
      <c r="F18" s="137">
        <f t="shared" si="3"/>
        <v>3597.2</v>
      </c>
      <c r="G18" s="137">
        <f t="shared" si="3"/>
        <v>1122.6</v>
      </c>
      <c r="H18" s="148">
        <f t="shared" si="3"/>
        <v>31.20760591571222</v>
      </c>
      <c r="I18" s="137">
        <f t="shared" si="3"/>
        <v>3597.2</v>
      </c>
      <c r="J18" s="137">
        <f t="shared" si="3"/>
        <v>1122.6000000000001</v>
      </c>
      <c r="K18" s="149">
        <f t="shared" si="1"/>
        <v>31.20760591571223</v>
      </c>
    </row>
    <row r="19" spans="1:11" ht="15">
      <c r="A19" s="140" t="s">
        <v>120</v>
      </c>
      <c r="B19" s="141" t="s">
        <v>121</v>
      </c>
      <c r="C19" s="142">
        <v>3597.2</v>
      </c>
      <c r="D19" s="150">
        <v>1179.2</v>
      </c>
      <c r="E19" s="142">
        <f t="shared" si="2"/>
        <v>32.781051929278334</v>
      </c>
      <c r="F19" s="143">
        <v>3597.2</v>
      </c>
      <c r="G19" s="143">
        <v>1122.6</v>
      </c>
      <c r="H19" s="143">
        <f>G19/F19*100</f>
        <v>31.20760591571222</v>
      </c>
      <c r="I19" s="144">
        <f>C19+F19-3597.2</f>
        <v>3597.2</v>
      </c>
      <c r="J19" s="145">
        <f>D19+G19-1179.2</f>
        <v>1122.6000000000001</v>
      </c>
      <c r="K19" s="146">
        <f t="shared" si="1"/>
        <v>31.20760591571223</v>
      </c>
    </row>
    <row r="20" spans="1:11" ht="12.75">
      <c r="A20" s="151" t="s">
        <v>122</v>
      </c>
      <c r="B20" s="152" t="s">
        <v>123</v>
      </c>
      <c r="C20" s="153">
        <f>C23+C24+C22</f>
        <v>14682.5</v>
      </c>
      <c r="D20" s="153">
        <f>D23+D24+D22</f>
        <v>4093.6</v>
      </c>
      <c r="E20" s="153">
        <f>D20/C20*100</f>
        <v>27.880810488676993</v>
      </c>
      <c r="F20" s="153">
        <f>F23+F24+F22</f>
        <v>4410</v>
      </c>
      <c r="G20" s="153">
        <f>G23+G24+G22</f>
        <v>984.1999999999999</v>
      </c>
      <c r="H20" s="153">
        <f>G20/F20*100</f>
        <v>22.317460317460316</v>
      </c>
      <c r="I20" s="153">
        <f>I23+I24+I22</f>
        <v>17659.3</v>
      </c>
      <c r="J20" s="153">
        <f>SUM(J22:J24)</f>
        <v>4866.9</v>
      </c>
      <c r="K20" s="153">
        <f>J20/I20*100</f>
        <v>27.559982558765068</v>
      </c>
    </row>
    <row r="21" spans="1:11" ht="12.75">
      <c r="A21" s="151"/>
      <c r="B21" s="152"/>
      <c r="C21" s="153"/>
      <c r="D21" s="153"/>
      <c r="E21" s="153"/>
      <c r="F21" s="153"/>
      <c r="G21" s="153"/>
      <c r="H21" s="153"/>
      <c r="I21" s="153"/>
      <c r="J21" s="153"/>
      <c r="K21" s="153"/>
    </row>
    <row r="22" spans="1:11" ht="15">
      <c r="A22" s="147" t="s">
        <v>124</v>
      </c>
      <c r="B22" s="141" t="s">
        <v>125</v>
      </c>
      <c r="C22" s="142">
        <v>6354.2</v>
      </c>
      <c r="D22" s="142">
        <v>1990</v>
      </c>
      <c r="E22" s="142">
        <f aca="true" t="shared" si="4" ref="E22:E88">D22/C22*100</f>
        <v>31.317868496427558</v>
      </c>
      <c r="F22" s="143">
        <v>821</v>
      </c>
      <c r="G22" s="143">
        <v>210.9</v>
      </c>
      <c r="H22" s="143">
        <f>G22/F22*100</f>
        <v>25.688185140073085</v>
      </c>
      <c r="I22" s="144">
        <f>C22+F22-821</f>
        <v>6354.2</v>
      </c>
      <c r="J22" s="145">
        <f>D22+G22-210.9</f>
        <v>1990</v>
      </c>
      <c r="K22" s="146">
        <f>J22/I22*100</f>
        <v>31.317868496427558</v>
      </c>
    </row>
    <row r="23" spans="1:11" ht="15">
      <c r="A23" s="140" t="s">
        <v>126</v>
      </c>
      <c r="B23" s="141" t="s">
        <v>127</v>
      </c>
      <c r="C23" s="142">
        <v>7783.2</v>
      </c>
      <c r="D23" s="142">
        <v>2103.6</v>
      </c>
      <c r="E23" s="142">
        <f t="shared" si="4"/>
        <v>27.02744372494604</v>
      </c>
      <c r="F23" s="143">
        <v>3285.8</v>
      </c>
      <c r="G23" s="143">
        <v>755.3</v>
      </c>
      <c r="H23" s="143">
        <f>G23/F23*100</f>
        <v>22.986791648913503</v>
      </c>
      <c r="I23" s="144">
        <f>C23+F23-400</f>
        <v>10669</v>
      </c>
      <c r="J23" s="145">
        <f>D23+G23</f>
        <v>2858.8999999999996</v>
      </c>
      <c r="K23" s="146">
        <f>J23/I23*100</f>
        <v>26.79632580373043</v>
      </c>
    </row>
    <row r="24" spans="1:11" ht="30">
      <c r="A24" s="147" t="s">
        <v>128</v>
      </c>
      <c r="B24" s="141" t="s">
        <v>129</v>
      </c>
      <c r="C24" s="142">
        <v>545.1</v>
      </c>
      <c r="D24" s="142">
        <v>0</v>
      </c>
      <c r="E24" s="142">
        <f t="shared" si="4"/>
        <v>0</v>
      </c>
      <c r="F24" s="143">
        <v>303.2</v>
      </c>
      <c r="G24" s="143">
        <v>18</v>
      </c>
      <c r="H24" s="143">
        <f>G24/F24*100</f>
        <v>5.936675461741425</v>
      </c>
      <c r="I24" s="144">
        <f>C24+F24-212.2</f>
        <v>636.0999999999999</v>
      </c>
      <c r="J24" s="144">
        <f>D24+G24</f>
        <v>18</v>
      </c>
      <c r="K24" s="146">
        <f>J24/I24*100</f>
        <v>2.8297437509825505</v>
      </c>
    </row>
    <row r="25" spans="1:11" ht="15">
      <c r="A25" s="135" t="s">
        <v>130</v>
      </c>
      <c r="B25" s="136" t="s">
        <v>131</v>
      </c>
      <c r="C25" s="137">
        <f>SUM(C26:C43)</f>
        <v>293018.3</v>
      </c>
      <c r="D25" s="137">
        <f>SUM(D26:D43)</f>
        <v>91245.4</v>
      </c>
      <c r="E25" s="137">
        <f>D25/C25*100</f>
        <v>31.139829833153765</v>
      </c>
      <c r="F25" s="137">
        <f>SUM(F26:F44)</f>
        <v>99600.4</v>
      </c>
      <c r="G25" s="137">
        <f>SUM(G26:G44)</f>
        <v>26424.9</v>
      </c>
      <c r="H25" s="138">
        <f>G25/F25*100</f>
        <v>26.53091754651588</v>
      </c>
      <c r="I25" s="137">
        <f>SUM(I26:I44)</f>
        <v>375207.39999999997</v>
      </c>
      <c r="J25" s="137">
        <f>SUM(J26:J44)</f>
        <v>114285.9</v>
      </c>
      <c r="K25" s="139">
        <f t="shared" si="1"/>
        <v>30.459393924533472</v>
      </c>
    </row>
    <row r="26" spans="1:11" ht="45">
      <c r="A26" s="147" t="s">
        <v>132</v>
      </c>
      <c r="B26" s="154" t="s">
        <v>133</v>
      </c>
      <c r="C26" s="142">
        <v>9964.4</v>
      </c>
      <c r="D26" s="142">
        <v>2276.1</v>
      </c>
      <c r="E26" s="142">
        <f t="shared" si="4"/>
        <v>22.8423186544097</v>
      </c>
      <c r="F26" s="142">
        <v>8280.8</v>
      </c>
      <c r="G26" s="143">
        <v>5957</v>
      </c>
      <c r="H26" s="143">
        <f>G26/F26*100</f>
        <v>71.93749396193606</v>
      </c>
      <c r="I26" s="144">
        <f>C26+F26-2342.4</f>
        <v>15902.799999999997</v>
      </c>
      <c r="J26" s="144">
        <f>D26+G26-2203.4</f>
        <v>6029.700000000001</v>
      </c>
      <c r="K26" s="146">
        <f t="shared" si="1"/>
        <v>37.91596448424178</v>
      </c>
    </row>
    <row r="27" spans="1:11" ht="15">
      <c r="A27" s="140" t="s">
        <v>134</v>
      </c>
      <c r="B27" s="141" t="s">
        <v>135</v>
      </c>
      <c r="C27" s="142">
        <v>50354</v>
      </c>
      <c r="D27" s="142">
        <v>33253.8</v>
      </c>
      <c r="E27" s="142">
        <f t="shared" si="4"/>
        <v>66.04003654128769</v>
      </c>
      <c r="F27" s="143">
        <v>0</v>
      </c>
      <c r="G27" s="143">
        <v>0</v>
      </c>
      <c r="H27" s="143">
        <v>0</v>
      </c>
      <c r="I27" s="155">
        <f>C27+F27</f>
        <v>50354</v>
      </c>
      <c r="J27" s="145">
        <f t="shared" si="0"/>
        <v>33253.8</v>
      </c>
      <c r="K27" s="146">
        <f t="shared" si="1"/>
        <v>66.04003654128769</v>
      </c>
    </row>
    <row r="28" spans="1:11" ht="15">
      <c r="A28" s="140" t="s">
        <v>136</v>
      </c>
      <c r="B28" s="141" t="s">
        <v>137</v>
      </c>
      <c r="C28" s="142">
        <v>9000</v>
      </c>
      <c r="D28" s="142">
        <v>925.2</v>
      </c>
      <c r="E28" s="142">
        <f t="shared" si="4"/>
        <v>10.280000000000001</v>
      </c>
      <c r="F28" s="143">
        <v>0</v>
      </c>
      <c r="G28" s="143">
        <v>0</v>
      </c>
      <c r="H28" s="143">
        <v>0</v>
      </c>
      <c r="I28" s="144">
        <f t="shared" si="0"/>
        <v>9000</v>
      </c>
      <c r="J28" s="145">
        <f t="shared" si="0"/>
        <v>925.2</v>
      </c>
      <c r="K28" s="146">
        <f t="shared" si="1"/>
        <v>10.280000000000001</v>
      </c>
    </row>
    <row r="29" spans="1:11" ht="30">
      <c r="A29" s="140" t="s">
        <v>136</v>
      </c>
      <c r="B29" s="141" t="s">
        <v>138</v>
      </c>
      <c r="C29" s="142">
        <v>18099.3</v>
      </c>
      <c r="D29" s="142">
        <v>10066.6</v>
      </c>
      <c r="E29" s="142">
        <f t="shared" si="4"/>
        <v>55.618725586072394</v>
      </c>
      <c r="F29" s="143">
        <v>13705.4</v>
      </c>
      <c r="G29" s="143">
        <v>5062.5</v>
      </c>
      <c r="H29" s="143">
        <f>G29/F29*100</f>
        <v>36.93799524275103</v>
      </c>
      <c r="I29" s="144">
        <f t="shared" si="0"/>
        <v>31804.699999999997</v>
      </c>
      <c r="J29" s="145">
        <f t="shared" si="0"/>
        <v>15129.1</v>
      </c>
      <c r="K29" s="146">
        <f t="shared" si="1"/>
        <v>47.56875556128497</v>
      </c>
    </row>
    <row r="30" spans="1:11" ht="15">
      <c r="A30" s="140" t="s">
        <v>136</v>
      </c>
      <c r="B30" s="141" t="s">
        <v>139</v>
      </c>
      <c r="C30" s="142">
        <v>12500</v>
      </c>
      <c r="D30" s="142">
        <v>0</v>
      </c>
      <c r="E30" s="142">
        <f t="shared" si="4"/>
        <v>0</v>
      </c>
      <c r="F30" s="143">
        <v>0</v>
      </c>
      <c r="G30" s="143">
        <v>0</v>
      </c>
      <c r="H30" s="143">
        <v>0</v>
      </c>
      <c r="I30" s="144">
        <f t="shared" si="0"/>
        <v>12500</v>
      </c>
      <c r="J30" s="145">
        <f t="shared" si="0"/>
        <v>0</v>
      </c>
      <c r="K30" s="146">
        <f t="shared" si="1"/>
        <v>0</v>
      </c>
    </row>
    <row r="31" spans="1:11" ht="45">
      <c r="A31" s="140" t="s">
        <v>140</v>
      </c>
      <c r="B31" s="156" t="s">
        <v>141</v>
      </c>
      <c r="C31" s="142">
        <v>6191.3</v>
      </c>
      <c r="D31" s="142">
        <v>2351.5</v>
      </c>
      <c r="E31" s="142">
        <f t="shared" si="4"/>
        <v>37.98071487409752</v>
      </c>
      <c r="F31" s="143">
        <v>508.4</v>
      </c>
      <c r="G31" s="143">
        <v>83.4</v>
      </c>
      <c r="H31" s="143">
        <f aca="true" t="shared" si="5" ref="H31:H37">G31/F31*100</f>
        <v>16.404405979543668</v>
      </c>
      <c r="I31" s="144">
        <f t="shared" si="0"/>
        <v>6699.7</v>
      </c>
      <c r="J31" s="145">
        <f t="shared" si="0"/>
        <v>2434.9</v>
      </c>
      <c r="K31" s="146">
        <f t="shared" si="1"/>
        <v>36.34341836201621</v>
      </c>
    </row>
    <row r="32" spans="1:11" ht="60">
      <c r="A32" s="147" t="s">
        <v>140</v>
      </c>
      <c r="B32" s="156" t="s">
        <v>142</v>
      </c>
      <c r="C32" s="142">
        <v>120013.8</v>
      </c>
      <c r="D32" s="142">
        <v>27043.8</v>
      </c>
      <c r="E32" s="142">
        <f t="shared" si="4"/>
        <v>22.53390860051094</v>
      </c>
      <c r="F32" s="143">
        <v>10387.9</v>
      </c>
      <c r="G32" s="143">
        <v>0</v>
      </c>
      <c r="H32" s="143">
        <f t="shared" si="5"/>
        <v>0</v>
      </c>
      <c r="I32" s="144">
        <f>C32+F32-10387.9</f>
        <v>120013.8</v>
      </c>
      <c r="J32" s="145">
        <f>D32+G32</f>
        <v>27043.8</v>
      </c>
      <c r="K32" s="146">
        <f>J32/I32*100</f>
        <v>22.53390860051094</v>
      </c>
    </row>
    <row r="33" spans="1:11" ht="90">
      <c r="A33" s="147" t="s">
        <v>140</v>
      </c>
      <c r="B33" s="141" t="s">
        <v>143</v>
      </c>
      <c r="C33" s="142">
        <v>3500</v>
      </c>
      <c r="D33" s="142">
        <v>0</v>
      </c>
      <c r="E33" s="142">
        <f t="shared" si="4"/>
        <v>0</v>
      </c>
      <c r="F33" s="143">
        <v>3500</v>
      </c>
      <c r="G33" s="143">
        <v>0</v>
      </c>
      <c r="H33" s="143">
        <f t="shared" si="5"/>
        <v>0</v>
      </c>
      <c r="I33" s="144">
        <f>C33+F33-3500</f>
        <v>3500</v>
      </c>
      <c r="J33" s="145">
        <f>D33+G33</f>
        <v>0</v>
      </c>
      <c r="K33" s="146">
        <f>J33/I33*100</f>
        <v>0</v>
      </c>
    </row>
    <row r="34" spans="1:11" ht="30">
      <c r="A34" s="147" t="s">
        <v>140</v>
      </c>
      <c r="B34" s="141" t="s">
        <v>144</v>
      </c>
      <c r="C34" s="142">
        <v>3187.2</v>
      </c>
      <c r="D34" s="142">
        <v>1264.2</v>
      </c>
      <c r="E34" s="142">
        <f t="shared" si="4"/>
        <v>39.66490963855422</v>
      </c>
      <c r="F34" s="143"/>
      <c r="G34" s="143"/>
      <c r="H34" s="143"/>
      <c r="I34" s="144">
        <f>C34+F34</f>
        <v>3187.2</v>
      </c>
      <c r="J34" s="145">
        <f>D34+G34</f>
        <v>1264.2</v>
      </c>
      <c r="K34" s="146">
        <f>J34/I34*100</f>
        <v>39.66490963855422</v>
      </c>
    </row>
    <row r="35" spans="1:11" ht="45">
      <c r="A35" s="147" t="s">
        <v>140</v>
      </c>
      <c r="B35" s="141" t="s">
        <v>145</v>
      </c>
      <c r="C35" s="142"/>
      <c r="D35" s="142"/>
      <c r="E35" s="142"/>
      <c r="F35" s="143">
        <v>57499.4</v>
      </c>
      <c r="G35" s="143">
        <v>13294.1</v>
      </c>
      <c r="H35" s="143">
        <f t="shared" si="5"/>
        <v>23.120415169549595</v>
      </c>
      <c r="I35" s="144">
        <f>C35+F35</f>
        <v>57499.4</v>
      </c>
      <c r="J35" s="145">
        <f t="shared" si="0"/>
        <v>13294.1</v>
      </c>
      <c r="K35" s="146">
        <f t="shared" si="1"/>
        <v>23.120415169549595</v>
      </c>
    </row>
    <row r="36" spans="1:11" ht="15">
      <c r="A36" s="140" t="s">
        <v>146</v>
      </c>
      <c r="B36" s="141" t="s">
        <v>147</v>
      </c>
      <c r="C36" s="142">
        <v>5261</v>
      </c>
      <c r="D36" s="142">
        <v>991</v>
      </c>
      <c r="E36" s="142">
        <f t="shared" si="4"/>
        <v>18.836723056453145</v>
      </c>
      <c r="F36" s="143">
        <v>4180.5</v>
      </c>
      <c r="G36" s="143">
        <v>1820.9</v>
      </c>
      <c r="H36" s="157">
        <f t="shared" si="5"/>
        <v>43.55699079057529</v>
      </c>
      <c r="I36" s="144">
        <f t="shared" si="0"/>
        <v>9441.5</v>
      </c>
      <c r="J36" s="145">
        <f t="shared" si="0"/>
        <v>2811.9</v>
      </c>
      <c r="K36" s="146">
        <f t="shared" si="1"/>
        <v>29.782343907218134</v>
      </c>
    </row>
    <row r="37" spans="1:11" ht="60">
      <c r="A37" s="140" t="s">
        <v>148</v>
      </c>
      <c r="B37" s="156" t="s">
        <v>149</v>
      </c>
      <c r="C37" s="142">
        <v>3077.6</v>
      </c>
      <c r="D37" s="142">
        <v>1511</v>
      </c>
      <c r="E37" s="150">
        <f t="shared" si="4"/>
        <v>49.096698726280216</v>
      </c>
      <c r="F37" s="143">
        <v>1181</v>
      </c>
      <c r="G37" s="143">
        <v>27</v>
      </c>
      <c r="H37" s="157">
        <f t="shared" si="5"/>
        <v>2.2861981371718882</v>
      </c>
      <c r="I37" s="144">
        <f>C37+F37-1181</f>
        <v>3077.6000000000004</v>
      </c>
      <c r="J37" s="145">
        <f>D37+G37-1181</f>
        <v>357</v>
      </c>
      <c r="K37" s="146">
        <f t="shared" si="1"/>
        <v>11.599948011437482</v>
      </c>
    </row>
    <row r="38" spans="1:11" ht="15">
      <c r="A38" s="140" t="s">
        <v>148</v>
      </c>
      <c r="B38" s="156" t="s">
        <v>150</v>
      </c>
      <c r="C38" s="142">
        <v>1500</v>
      </c>
      <c r="D38" s="142"/>
      <c r="E38" s="150"/>
      <c r="F38" s="143"/>
      <c r="G38" s="143"/>
      <c r="H38" s="157"/>
      <c r="I38" s="144">
        <f t="shared" si="0"/>
        <v>1500</v>
      </c>
      <c r="J38" s="145"/>
      <c r="K38" s="146"/>
    </row>
    <row r="39" spans="1:11" ht="60">
      <c r="A39" s="140" t="s">
        <v>148</v>
      </c>
      <c r="B39" s="156" t="s">
        <v>151</v>
      </c>
      <c r="C39" s="142">
        <v>4000</v>
      </c>
      <c r="D39" s="143">
        <v>1272.2</v>
      </c>
      <c r="E39" s="142">
        <f t="shared" si="4"/>
        <v>31.805</v>
      </c>
      <c r="F39" s="143">
        <v>0</v>
      </c>
      <c r="G39" s="143">
        <v>0</v>
      </c>
      <c r="H39" s="157">
        <v>0</v>
      </c>
      <c r="I39" s="144">
        <f t="shared" si="0"/>
        <v>4000</v>
      </c>
      <c r="J39" s="145">
        <f t="shared" si="0"/>
        <v>1272.2</v>
      </c>
      <c r="K39" s="146">
        <f t="shared" si="1"/>
        <v>31.805</v>
      </c>
    </row>
    <row r="40" spans="1:11" ht="120">
      <c r="A40" s="140" t="s">
        <v>148</v>
      </c>
      <c r="B40" s="156" t="s">
        <v>152</v>
      </c>
      <c r="C40" s="142">
        <v>33561.6</v>
      </c>
      <c r="D40" s="143">
        <v>9787.3</v>
      </c>
      <c r="E40" s="150">
        <f t="shared" si="4"/>
        <v>29.162197273073986</v>
      </c>
      <c r="F40" s="143"/>
      <c r="G40" s="143"/>
      <c r="H40" s="157"/>
      <c r="I40" s="144">
        <f t="shared" si="0"/>
        <v>33561.6</v>
      </c>
      <c r="J40" s="145">
        <f t="shared" si="0"/>
        <v>9787.3</v>
      </c>
      <c r="K40" s="146">
        <f t="shared" si="1"/>
        <v>29.162197273073986</v>
      </c>
    </row>
    <row r="41" spans="1:11" ht="75">
      <c r="A41" s="147" t="s">
        <v>148</v>
      </c>
      <c r="B41" s="156" t="s">
        <v>153</v>
      </c>
      <c r="C41" s="142">
        <v>10972</v>
      </c>
      <c r="D41" s="143"/>
      <c r="E41" s="150">
        <f t="shared" si="4"/>
        <v>0</v>
      </c>
      <c r="F41" s="143"/>
      <c r="G41" s="143"/>
      <c r="H41" s="157"/>
      <c r="I41" s="144">
        <f t="shared" si="0"/>
        <v>10972</v>
      </c>
      <c r="J41" s="145">
        <f t="shared" si="0"/>
        <v>0</v>
      </c>
      <c r="K41" s="146">
        <f t="shared" si="1"/>
        <v>0</v>
      </c>
    </row>
    <row r="42" spans="1:11" ht="30">
      <c r="A42" s="147" t="s">
        <v>148</v>
      </c>
      <c r="B42" s="156" t="s">
        <v>154</v>
      </c>
      <c r="C42" s="142">
        <v>1825.6</v>
      </c>
      <c r="D42" s="143">
        <v>502.7</v>
      </c>
      <c r="E42" s="150">
        <f t="shared" si="4"/>
        <v>27.536152497808942</v>
      </c>
      <c r="F42" s="143">
        <v>0</v>
      </c>
      <c r="G42" s="143">
        <v>0</v>
      </c>
      <c r="H42" s="157">
        <v>0</v>
      </c>
      <c r="I42" s="144">
        <f t="shared" si="0"/>
        <v>1825.6</v>
      </c>
      <c r="J42" s="145">
        <f t="shared" si="0"/>
        <v>502.7</v>
      </c>
      <c r="K42" s="146">
        <f t="shared" si="1"/>
        <v>27.536152497808942</v>
      </c>
    </row>
    <row r="43" spans="1:11" ht="45">
      <c r="A43" s="147" t="s">
        <v>148</v>
      </c>
      <c r="B43" s="156" t="s">
        <v>155</v>
      </c>
      <c r="C43" s="142">
        <v>10.5</v>
      </c>
      <c r="D43" s="143">
        <v>0</v>
      </c>
      <c r="E43" s="150">
        <f t="shared" si="4"/>
        <v>0</v>
      </c>
      <c r="F43" s="143"/>
      <c r="G43" s="143"/>
      <c r="H43" s="157">
        <v>0</v>
      </c>
      <c r="I43" s="144">
        <f t="shared" si="0"/>
        <v>10.5</v>
      </c>
      <c r="J43" s="145">
        <f t="shared" si="0"/>
        <v>0</v>
      </c>
      <c r="K43" s="146">
        <f t="shared" si="1"/>
        <v>0</v>
      </c>
    </row>
    <row r="44" spans="1:11" ht="15">
      <c r="A44" s="147" t="s">
        <v>148</v>
      </c>
      <c r="B44" s="156" t="s">
        <v>156</v>
      </c>
      <c r="C44" s="142"/>
      <c r="D44" s="143"/>
      <c r="E44" s="150"/>
      <c r="F44" s="143">
        <f>262+95</f>
        <v>357</v>
      </c>
      <c r="G44" s="143">
        <v>180</v>
      </c>
      <c r="H44" s="157">
        <f>G44/F44*100</f>
        <v>50.42016806722689</v>
      </c>
      <c r="I44" s="144">
        <f>C44+F44</f>
        <v>357</v>
      </c>
      <c r="J44" s="145">
        <f>D44+G44</f>
        <v>180</v>
      </c>
      <c r="K44" s="146">
        <f>J44/I44*100</f>
        <v>50.42016806722689</v>
      </c>
    </row>
    <row r="45" spans="1:11" ht="14.25">
      <c r="A45" s="135" t="s">
        <v>157</v>
      </c>
      <c r="B45" s="136" t="s">
        <v>158</v>
      </c>
      <c r="C45" s="158">
        <f>SUM(C46:C64)</f>
        <v>218771.90000000002</v>
      </c>
      <c r="D45" s="158">
        <f>SUM(D46:D64)</f>
        <v>98513.1</v>
      </c>
      <c r="E45" s="137">
        <f t="shared" si="4"/>
        <v>45.030051848523506</v>
      </c>
      <c r="F45" s="159">
        <f>SUM(F46:F64)</f>
        <v>146974.50000000003</v>
      </c>
      <c r="G45" s="159">
        <f>SUM(G46:G64)</f>
        <v>27778.699999999997</v>
      </c>
      <c r="H45" s="159">
        <f>G45/F45*100</f>
        <v>18.900353462675493</v>
      </c>
      <c r="I45" s="158">
        <f>SUM(I46:I64)</f>
        <v>306700.7</v>
      </c>
      <c r="J45" s="158">
        <f>SUM(J46:J64)</f>
        <v>125591.8</v>
      </c>
      <c r="K45" s="139">
        <f t="shared" si="1"/>
        <v>40.94930334361806</v>
      </c>
    </row>
    <row r="46" spans="1:11" ht="90">
      <c r="A46" s="140" t="s">
        <v>159</v>
      </c>
      <c r="B46" s="141" t="s">
        <v>160</v>
      </c>
      <c r="C46" s="142">
        <f>30644.1+45665.6</f>
        <v>76309.7</v>
      </c>
      <c r="D46" s="142">
        <v>67570.6</v>
      </c>
      <c r="E46" s="142">
        <f t="shared" si="4"/>
        <v>88.54785171478856</v>
      </c>
      <c r="F46" s="143">
        <v>0</v>
      </c>
      <c r="G46" s="143">
        <v>0</v>
      </c>
      <c r="H46" s="143">
        <v>0</v>
      </c>
      <c r="I46" s="144">
        <f t="shared" si="0"/>
        <v>76309.7</v>
      </c>
      <c r="J46" s="145">
        <f t="shared" si="0"/>
        <v>67570.6</v>
      </c>
      <c r="K46" s="146">
        <f t="shared" si="1"/>
        <v>88.54785171478856</v>
      </c>
    </row>
    <row r="47" spans="1:11" ht="45">
      <c r="A47" s="140" t="s">
        <v>159</v>
      </c>
      <c r="B47" s="141" t="s">
        <v>161</v>
      </c>
      <c r="C47" s="142">
        <v>1700</v>
      </c>
      <c r="D47" s="142">
        <v>566.2</v>
      </c>
      <c r="E47" s="142">
        <f t="shared" si="4"/>
        <v>33.30588235294118</v>
      </c>
      <c r="F47" s="143"/>
      <c r="G47" s="143"/>
      <c r="H47" s="143"/>
      <c r="I47" s="144">
        <f t="shared" si="0"/>
        <v>1700</v>
      </c>
      <c r="J47" s="145">
        <f t="shared" si="0"/>
        <v>566.2</v>
      </c>
      <c r="K47" s="146">
        <f t="shared" si="1"/>
        <v>33.30588235294118</v>
      </c>
    </row>
    <row r="48" spans="1:11" ht="45">
      <c r="A48" s="147" t="s">
        <v>159</v>
      </c>
      <c r="B48" s="141" t="s">
        <v>162</v>
      </c>
      <c r="C48" s="142">
        <v>400</v>
      </c>
      <c r="D48" s="142"/>
      <c r="E48" s="142">
        <f t="shared" si="4"/>
        <v>0</v>
      </c>
      <c r="F48" s="143">
        <v>17049.6</v>
      </c>
      <c r="G48" s="143">
        <v>1113</v>
      </c>
      <c r="H48" s="143">
        <f>G48/F48*100</f>
        <v>6.528012387387388</v>
      </c>
      <c r="I48" s="144">
        <f t="shared" si="0"/>
        <v>17449.6</v>
      </c>
      <c r="J48" s="145">
        <f t="shared" si="0"/>
        <v>1113</v>
      </c>
      <c r="K48" s="146">
        <f t="shared" si="1"/>
        <v>6.37836970474968</v>
      </c>
    </row>
    <row r="49" spans="1:11" ht="120">
      <c r="A49" s="140" t="s">
        <v>163</v>
      </c>
      <c r="B49" s="141" t="s">
        <v>164</v>
      </c>
      <c r="C49" s="142">
        <f>8333.5+483.6</f>
        <v>8817.1</v>
      </c>
      <c r="D49" s="150">
        <v>2228.6</v>
      </c>
      <c r="E49" s="142">
        <f t="shared" si="4"/>
        <v>25.2758843610711</v>
      </c>
      <c r="F49" s="143"/>
      <c r="G49" s="143"/>
      <c r="H49" s="143"/>
      <c r="I49" s="144">
        <f t="shared" si="0"/>
        <v>8817.1</v>
      </c>
      <c r="J49" s="145">
        <f t="shared" si="0"/>
        <v>2228.6</v>
      </c>
      <c r="K49" s="146">
        <f t="shared" si="1"/>
        <v>25.2758843610711</v>
      </c>
    </row>
    <row r="50" spans="1:11" ht="120">
      <c r="A50" s="140" t="s">
        <v>163</v>
      </c>
      <c r="B50" s="141" t="s">
        <v>165</v>
      </c>
      <c r="C50" s="142">
        <v>13994.9</v>
      </c>
      <c r="D50" s="142">
        <v>3654</v>
      </c>
      <c r="E50" s="142">
        <f t="shared" si="4"/>
        <v>26.109511321981582</v>
      </c>
      <c r="F50" s="143"/>
      <c r="G50" s="143"/>
      <c r="H50" s="143"/>
      <c r="I50" s="144">
        <f t="shared" si="0"/>
        <v>13994.9</v>
      </c>
      <c r="J50" s="145">
        <f t="shared" si="0"/>
        <v>3654</v>
      </c>
      <c r="K50" s="146">
        <f t="shared" si="1"/>
        <v>26.109511321981582</v>
      </c>
    </row>
    <row r="51" spans="1:11" ht="120">
      <c r="A51" s="147" t="s">
        <v>163</v>
      </c>
      <c r="B51" s="141" t="s">
        <v>166</v>
      </c>
      <c r="C51" s="142">
        <v>4334.1</v>
      </c>
      <c r="D51" s="142">
        <v>2718.9</v>
      </c>
      <c r="E51" s="142">
        <f t="shared" si="4"/>
        <v>62.732747283172976</v>
      </c>
      <c r="F51" s="143"/>
      <c r="G51" s="143"/>
      <c r="H51" s="143"/>
      <c r="I51" s="144">
        <f t="shared" si="0"/>
        <v>4334.1</v>
      </c>
      <c r="J51" s="145">
        <f t="shared" si="0"/>
        <v>2718.9</v>
      </c>
      <c r="K51" s="146">
        <f t="shared" si="1"/>
        <v>62.732747283172976</v>
      </c>
    </row>
    <row r="52" spans="1:11" ht="120">
      <c r="A52" s="147" t="s">
        <v>163</v>
      </c>
      <c r="B52" s="141" t="s">
        <v>167</v>
      </c>
      <c r="C52" s="142">
        <v>6501.1</v>
      </c>
      <c r="D52" s="142">
        <v>3392.1</v>
      </c>
      <c r="E52" s="142">
        <f t="shared" si="4"/>
        <v>52.17732383750442</v>
      </c>
      <c r="F52" s="143"/>
      <c r="G52" s="143"/>
      <c r="H52" s="143"/>
      <c r="I52" s="144">
        <f t="shared" si="0"/>
        <v>6501.1</v>
      </c>
      <c r="J52" s="145">
        <f t="shared" si="0"/>
        <v>3392.1</v>
      </c>
      <c r="K52" s="146">
        <f t="shared" si="1"/>
        <v>52.17732383750442</v>
      </c>
    </row>
    <row r="53" spans="1:11" ht="153">
      <c r="A53" s="140" t="s">
        <v>163</v>
      </c>
      <c r="B53" s="160" t="s">
        <v>168</v>
      </c>
      <c r="C53" s="142">
        <v>40704.6</v>
      </c>
      <c r="D53" s="142">
        <v>17682.7</v>
      </c>
      <c r="E53" s="142">
        <f>D53/C53*100</f>
        <v>43.44152749320716</v>
      </c>
      <c r="F53" s="143"/>
      <c r="G53" s="143"/>
      <c r="H53" s="143"/>
      <c r="I53" s="144">
        <f>C53+F53</f>
        <v>40704.6</v>
      </c>
      <c r="J53" s="145">
        <f>D53+G53</f>
        <v>17682.7</v>
      </c>
      <c r="K53" s="146">
        <f>J53/I53*100</f>
        <v>43.44152749320716</v>
      </c>
    </row>
    <row r="54" spans="1:11" ht="150">
      <c r="A54" s="147" t="s">
        <v>163</v>
      </c>
      <c r="B54" s="156" t="s">
        <v>169</v>
      </c>
      <c r="C54" s="142">
        <f>41067.3+2401.6+4004.2</f>
        <v>47473.1</v>
      </c>
      <c r="D54" s="142"/>
      <c r="E54" s="142">
        <f t="shared" si="4"/>
        <v>0</v>
      </c>
      <c r="F54" s="143">
        <f>41067.3+3013.3</f>
        <v>44080.600000000006</v>
      </c>
      <c r="G54" s="143"/>
      <c r="H54" s="143">
        <f>G54/F54*100</f>
        <v>0</v>
      </c>
      <c r="I54" s="144">
        <f>C54+F54-41067.3</f>
        <v>50486.40000000001</v>
      </c>
      <c r="J54" s="145">
        <f>D54+G54</f>
        <v>0</v>
      </c>
      <c r="K54" s="146">
        <f t="shared" si="1"/>
        <v>0</v>
      </c>
    </row>
    <row r="55" spans="1:11" ht="60">
      <c r="A55" s="147" t="s">
        <v>163</v>
      </c>
      <c r="B55" s="156" t="s">
        <v>170</v>
      </c>
      <c r="C55" s="142"/>
      <c r="D55" s="142"/>
      <c r="E55" s="142"/>
      <c r="F55" s="143">
        <v>6781</v>
      </c>
      <c r="G55" s="143">
        <v>5448.9</v>
      </c>
      <c r="H55" s="143">
        <f aca="true" t="shared" si="6" ref="H55:H63">G55/F55*100</f>
        <v>80.3554048075505</v>
      </c>
      <c r="I55" s="144">
        <f t="shared" si="0"/>
        <v>6781</v>
      </c>
      <c r="J55" s="145">
        <f>D55+G55</f>
        <v>5448.9</v>
      </c>
      <c r="K55" s="161">
        <f t="shared" si="1"/>
        <v>80.3554048075505</v>
      </c>
    </row>
    <row r="56" spans="1:11" ht="15">
      <c r="A56" s="147" t="s">
        <v>163</v>
      </c>
      <c r="B56" s="156" t="s">
        <v>171</v>
      </c>
      <c r="C56" s="142"/>
      <c r="D56" s="142"/>
      <c r="E56" s="142"/>
      <c r="F56" s="143">
        <v>13057.6</v>
      </c>
      <c r="G56" s="143">
        <v>5850</v>
      </c>
      <c r="H56" s="143">
        <f t="shared" si="6"/>
        <v>44.80149491483887</v>
      </c>
      <c r="I56" s="144">
        <f t="shared" si="0"/>
        <v>13057.6</v>
      </c>
      <c r="J56" s="145">
        <f>D56+G56</f>
        <v>5850</v>
      </c>
      <c r="K56" s="146">
        <f t="shared" si="1"/>
        <v>44.80149491483887</v>
      </c>
    </row>
    <row r="57" spans="1:11" ht="75">
      <c r="A57" s="147" t="s">
        <v>172</v>
      </c>
      <c r="B57" s="141" t="s">
        <v>173</v>
      </c>
      <c r="C57" s="142">
        <v>500</v>
      </c>
      <c r="D57" s="142">
        <v>0</v>
      </c>
      <c r="E57" s="142">
        <f t="shared" si="4"/>
        <v>0</v>
      </c>
      <c r="F57" s="142">
        <v>500</v>
      </c>
      <c r="G57" s="143"/>
      <c r="H57" s="143">
        <f t="shared" si="6"/>
        <v>0</v>
      </c>
      <c r="I57" s="144">
        <f>C57+F57-500</f>
        <v>500</v>
      </c>
      <c r="J57" s="145">
        <f>D57+G57</f>
        <v>0</v>
      </c>
      <c r="K57" s="146">
        <f t="shared" si="1"/>
        <v>0</v>
      </c>
    </row>
    <row r="58" spans="1:11" ht="45">
      <c r="A58" s="147" t="s">
        <v>172</v>
      </c>
      <c r="B58" s="141" t="s">
        <v>174</v>
      </c>
      <c r="C58" s="142">
        <v>700</v>
      </c>
      <c r="D58" s="142">
        <v>700</v>
      </c>
      <c r="E58" s="142">
        <f t="shared" si="4"/>
        <v>100</v>
      </c>
      <c r="F58" s="142">
        <v>700</v>
      </c>
      <c r="G58" s="143"/>
      <c r="H58" s="143">
        <f t="shared" si="6"/>
        <v>0</v>
      </c>
      <c r="I58" s="144">
        <f>C58+F58-700</f>
        <v>700</v>
      </c>
      <c r="J58" s="144">
        <f>D58+G58-700</f>
        <v>0</v>
      </c>
      <c r="K58" s="146">
        <f t="shared" si="1"/>
        <v>0</v>
      </c>
    </row>
    <row r="59" spans="1:11" ht="30">
      <c r="A59" s="147" t="s">
        <v>172</v>
      </c>
      <c r="B59" s="141" t="s">
        <v>175</v>
      </c>
      <c r="C59" s="142">
        <v>100</v>
      </c>
      <c r="D59" s="142"/>
      <c r="E59" s="142">
        <f t="shared" si="4"/>
        <v>0</v>
      </c>
      <c r="F59" s="142"/>
      <c r="G59" s="143"/>
      <c r="H59" s="143"/>
      <c r="I59" s="144">
        <f>C59+F59</f>
        <v>100</v>
      </c>
      <c r="J59" s="144"/>
      <c r="K59" s="146"/>
    </row>
    <row r="60" spans="1:11" ht="75">
      <c r="A60" s="147" t="s">
        <v>172</v>
      </c>
      <c r="B60" s="141" t="s">
        <v>176</v>
      </c>
      <c r="C60" s="142"/>
      <c r="D60" s="142"/>
      <c r="E60" s="142" t="e">
        <f t="shared" si="4"/>
        <v>#DIV/0!</v>
      </c>
      <c r="F60" s="142">
        <v>1314.1</v>
      </c>
      <c r="G60" s="143"/>
      <c r="H60" s="143">
        <f t="shared" si="6"/>
        <v>0</v>
      </c>
      <c r="I60" s="144">
        <f>C60+F60</f>
        <v>1314.1</v>
      </c>
      <c r="J60" s="145">
        <f>D60+G60</f>
        <v>0</v>
      </c>
      <c r="K60" s="146">
        <f t="shared" si="1"/>
        <v>0</v>
      </c>
    </row>
    <row r="61" spans="1:11" ht="30">
      <c r="A61" s="147" t="s">
        <v>172</v>
      </c>
      <c r="B61" s="141" t="s">
        <v>177</v>
      </c>
      <c r="C61" s="142">
        <f>8208.7+432</f>
        <v>8640.7</v>
      </c>
      <c r="D61" s="142">
        <v>0</v>
      </c>
      <c r="E61" s="142">
        <f t="shared" si="4"/>
        <v>0</v>
      </c>
      <c r="F61" s="142">
        <f>8208.7+1706.1</f>
        <v>9914.800000000001</v>
      </c>
      <c r="G61" s="143"/>
      <c r="H61" s="143">
        <f t="shared" si="6"/>
        <v>0</v>
      </c>
      <c r="I61" s="144">
        <f>C61+F61-5746.1-2462.6</f>
        <v>10346.8</v>
      </c>
      <c r="J61" s="145">
        <f>D61+G61</f>
        <v>0</v>
      </c>
      <c r="K61" s="146">
        <f t="shared" si="1"/>
        <v>0</v>
      </c>
    </row>
    <row r="62" spans="1:11" ht="30">
      <c r="A62" s="147" t="s">
        <v>172</v>
      </c>
      <c r="B62" s="162" t="s">
        <v>178</v>
      </c>
      <c r="C62" s="142">
        <v>8569.7</v>
      </c>
      <c r="D62" s="142"/>
      <c r="E62" s="142"/>
      <c r="F62" s="142">
        <f>9469.7+463.3</f>
        <v>9933</v>
      </c>
      <c r="G62" s="143"/>
      <c r="H62" s="143"/>
      <c r="I62" s="144">
        <f>C62+F62-8569.7</f>
        <v>9933</v>
      </c>
      <c r="J62" s="145">
        <f>D62+G62</f>
        <v>0</v>
      </c>
      <c r="K62" s="146">
        <f t="shared" si="1"/>
        <v>0</v>
      </c>
    </row>
    <row r="63" spans="1:11" ht="15">
      <c r="A63" s="140" t="s">
        <v>172</v>
      </c>
      <c r="B63" s="141" t="s">
        <v>179</v>
      </c>
      <c r="C63" s="142"/>
      <c r="D63" s="142"/>
      <c r="E63" s="150">
        <v>0</v>
      </c>
      <c r="F63" s="142">
        <v>43643.8</v>
      </c>
      <c r="G63" s="143">
        <v>15366.8</v>
      </c>
      <c r="H63" s="143">
        <f t="shared" si="6"/>
        <v>35.209583033558026</v>
      </c>
      <c r="I63" s="144">
        <f>C63+F63</f>
        <v>43643.8</v>
      </c>
      <c r="J63" s="145">
        <f>D63+G63</f>
        <v>15366.8</v>
      </c>
      <c r="K63" s="146">
        <f t="shared" si="1"/>
        <v>35.209583033558026</v>
      </c>
    </row>
    <row r="64" spans="1:11" ht="15">
      <c r="A64" s="147" t="s">
        <v>180</v>
      </c>
      <c r="B64" s="141" t="s">
        <v>181</v>
      </c>
      <c r="C64" s="142">
        <v>26.9</v>
      </c>
      <c r="D64" s="142">
        <v>0</v>
      </c>
      <c r="E64" s="142">
        <f>D64/C64*100</f>
        <v>0</v>
      </c>
      <c r="F64" s="142">
        <v>0</v>
      </c>
      <c r="G64" s="143">
        <v>0</v>
      </c>
      <c r="H64" s="143">
        <v>0</v>
      </c>
      <c r="I64" s="144">
        <f>C64+F64</f>
        <v>26.9</v>
      </c>
      <c r="J64" s="145">
        <f>D64+G64</f>
        <v>0</v>
      </c>
      <c r="K64" s="163">
        <f t="shared" si="1"/>
        <v>0</v>
      </c>
    </row>
    <row r="65" spans="1:11" ht="15">
      <c r="A65" s="164" t="s">
        <v>182</v>
      </c>
      <c r="B65" s="165" t="s">
        <v>183</v>
      </c>
      <c r="C65" s="159">
        <f aca="true" t="shared" si="7" ref="C65:H65">C66</f>
        <v>108.1</v>
      </c>
      <c r="D65" s="159">
        <f t="shared" si="7"/>
        <v>108.1</v>
      </c>
      <c r="E65" s="166">
        <f t="shared" si="4"/>
        <v>100</v>
      </c>
      <c r="F65" s="159">
        <f t="shared" si="7"/>
        <v>0</v>
      </c>
      <c r="G65" s="159">
        <f t="shared" si="7"/>
        <v>0</v>
      </c>
      <c r="H65" s="138">
        <f t="shared" si="7"/>
        <v>0</v>
      </c>
      <c r="I65" s="159">
        <f t="shared" si="0"/>
        <v>108.1</v>
      </c>
      <c r="J65" s="159">
        <f t="shared" si="0"/>
        <v>108.1</v>
      </c>
      <c r="K65" s="139">
        <v>0</v>
      </c>
    </row>
    <row r="66" spans="1:11" ht="15">
      <c r="A66" s="147" t="s">
        <v>184</v>
      </c>
      <c r="B66" s="167" t="s">
        <v>185</v>
      </c>
      <c r="C66" s="143">
        <v>108.1</v>
      </c>
      <c r="D66" s="143">
        <v>108.1</v>
      </c>
      <c r="E66" s="142">
        <f t="shared" si="4"/>
        <v>100</v>
      </c>
      <c r="F66" s="143">
        <v>0</v>
      </c>
      <c r="G66" s="143">
        <v>0</v>
      </c>
      <c r="H66" s="143">
        <v>0</v>
      </c>
      <c r="I66" s="144">
        <f t="shared" si="0"/>
        <v>108.1</v>
      </c>
      <c r="J66" s="145">
        <f t="shared" si="0"/>
        <v>108.1</v>
      </c>
      <c r="K66" s="146">
        <f t="shared" si="1"/>
        <v>100</v>
      </c>
    </row>
    <row r="67" spans="1:11" ht="15">
      <c r="A67" s="135" t="s">
        <v>186</v>
      </c>
      <c r="B67" s="136" t="s">
        <v>187</v>
      </c>
      <c r="C67" s="137">
        <f>SUM(C68:C75)</f>
        <v>1962123.0999999999</v>
      </c>
      <c r="D67" s="137">
        <f>SUM(D68:D75)</f>
        <v>758776.3999999999</v>
      </c>
      <c r="E67" s="137">
        <f>D67/C67*100</f>
        <v>38.671192444551515</v>
      </c>
      <c r="F67" s="159">
        <f>F68+F70+F71+F74+F75</f>
        <v>0</v>
      </c>
      <c r="G67" s="159">
        <f>SUM(G68:G75)</f>
        <v>0</v>
      </c>
      <c r="H67" s="138">
        <v>0</v>
      </c>
      <c r="I67" s="137">
        <f>SUM(I68:I75)</f>
        <v>1962123.0999999999</v>
      </c>
      <c r="J67" s="137">
        <f>SUM(J68:J75)</f>
        <v>758776.3999999999</v>
      </c>
      <c r="K67" s="139">
        <f t="shared" si="1"/>
        <v>38.671192444551515</v>
      </c>
    </row>
    <row r="68" spans="1:11" ht="15">
      <c r="A68" s="140" t="s">
        <v>188</v>
      </c>
      <c r="B68" s="141" t="s">
        <v>189</v>
      </c>
      <c r="C68" s="142">
        <f>459828.8-C69</f>
        <v>393106.6</v>
      </c>
      <c r="D68" s="142">
        <f>193082.1-D69</f>
        <v>171465.1</v>
      </c>
      <c r="E68" s="142">
        <f t="shared" si="4"/>
        <v>43.61796520333162</v>
      </c>
      <c r="F68" s="143">
        <v>0</v>
      </c>
      <c r="G68" s="143">
        <v>0</v>
      </c>
      <c r="H68" s="143">
        <v>0</v>
      </c>
      <c r="I68" s="144">
        <f t="shared" si="0"/>
        <v>393106.6</v>
      </c>
      <c r="J68" s="145">
        <f t="shared" si="0"/>
        <v>171465.1</v>
      </c>
      <c r="K68" s="146">
        <f t="shared" si="1"/>
        <v>43.61796520333162</v>
      </c>
    </row>
    <row r="69" spans="1:11" ht="105">
      <c r="A69" s="140" t="s">
        <v>188</v>
      </c>
      <c r="B69" s="141" t="s">
        <v>190</v>
      </c>
      <c r="C69" s="142">
        <f>59782.1+6940.1</f>
        <v>66722.2</v>
      </c>
      <c r="D69" s="142">
        <v>21617</v>
      </c>
      <c r="E69" s="142">
        <f t="shared" si="4"/>
        <v>32.39851203947112</v>
      </c>
      <c r="F69" s="143"/>
      <c r="G69" s="143"/>
      <c r="H69" s="143"/>
      <c r="I69" s="144">
        <f t="shared" si="0"/>
        <v>66722.2</v>
      </c>
      <c r="J69" s="145">
        <f t="shared" si="0"/>
        <v>21617</v>
      </c>
      <c r="K69" s="146">
        <f t="shared" si="1"/>
        <v>32.39851203947112</v>
      </c>
    </row>
    <row r="70" spans="1:11" ht="15">
      <c r="A70" s="140" t="s">
        <v>191</v>
      </c>
      <c r="B70" s="141" t="s">
        <v>192</v>
      </c>
      <c r="C70" s="142">
        <f>1229367.4-C71-C72</f>
        <v>1069219.4</v>
      </c>
      <c r="D70" s="142">
        <f>438717-D71-D72</f>
        <v>383824.4</v>
      </c>
      <c r="E70" s="142">
        <f t="shared" si="4"/>
        <v>35.897627745998626</v>
      </c>
      <c r="F70" s="143">
        <v>0</v>
      </c>
      <c r="G70" s="143">
        <v>0</v>
      </c>
      <c r="H70" s="143">
        <v>0</v>
      </c>
      <c r="I70" s="144">
        <f t="shared" si="0"/>
        <v>1069219.4</v>
      </c>
      <c r="J70" s="145">
        <f t="shared" si="0"/>
        <v>383824.4</v>
      </c>
      <c r="K70" s="146">
        <f t="shared" si="1"/>
        <v>35.897627745998626</v>
      </c>
    </row>
    <row r="71" spans="1:11" ht="15">
      <c r="A71" s="140" t="s">
        <v>191</v>
      </c>
      <c r="B71" s="141" t="s">
        <v>193</v>
      </c>
      <c r="C71" s="142">
        <f>30825+20887.7+242</f>
        <v>51954.7</v>
      </c>
      <c r="D71" s="142">
        <v>18087</v>
      </c>
      <c r="E71" s="142">
        <f t="shared" si="4"/>
        <v>34.81301980379061</v>
      </c>
      <c r="F71" s="143">
        <v>0</v>
      </c>
      <c r="G71" s="143">
        <v>0</v>
      </c>
      <c r="H71" s="143">
        <v>0</v>
      </c>
      <c r="I71" s="144">
        <f t="shared" si="0"/>
        <v>51954.7</v>
      </c>
      <c r="J71" s="145">
        <f t="shared" si="0"/>
        <v>18087</v>
      </c>
      <c r="K71" s="146">
        <f t="shared" si="1"/>
        <v>34.81301980379061</v>
      </c>
    </row>
    <row r="72" spans="1:11" ht="105">
      <c r="A72" s="140" t="s">
        <v>191</v>
      </c>
      <c r="B72" s="141" t="s">
        <v>194</v>
      </c>
      <c r="C72" s="142">
        <f>97374+10819.3</f>
        <v>108193.3</v>
      </c>
      <c r="D72" s="142">
        <v>36805.6</v>
      </c>
      <c r="E72" s="142">
        <f t="shared" si="4"/>
        <v>34.01837267187524</v>
      </c>
      <c r="F72" s="143">
        <v>0</v>
      </c>
      <c r="G72" s="143">
        <v>0</v>
      </c>
      <c r="H72" s="143">
        <v>0</v>
      </c>
      <c r="I72" s="144">
        <f t="shared" si="0"/>
        <v>108193.3</v>
      </c>
      <c r="J72" s="145">
        <f t="shared" si="0"/>
        <v>36805.6</v>
      </c>
      <c r="K72" s="146">
        <f t="shared" si="1"/>
        <v>34.01837267187524</v>
      </c>
    </row>
    <row r="73" spans="1:11" ht="15">
      <c r="A73" s="140" t="s">
        <v>195</v>
      </c>
      <c r="B73" s="141" t="s">
        <v>196</v>
      </c>
      <c r="C73" s="142">
        <v>198563.2</v>
      </c>
      <c r="D73" s="150">
        <v>104909.2</v>
      </c>
      <c r="E73" s="142">
        <f t="shared" si="4"/>
        <v>52.83416060982095</v>
      </c>
      <c r="F73" s="143"/>
      <c r="G73" s="143"/>
      <c r="H73" s="143"/>
      <c r="I73" s="144">
        <f t="shared" si="0"/>
        <v>198563.2</v>
      </c>
      <c r="J73" s="145">
        <f t="shared" si="0"/>
        <v>104909.2</v>
      </c>
      <c r="K73" s="146">
        <f t="shared" si="1"/>
        <v>52.83416060982095</v>
      </c>
    </row>
    <row r="74" spans="1:11" ht="15">
      <c r="A74" s="140" t="s">
        <v>197</v>
      </c>
      <c r="B74" s="141" t="s">
        <v>198</v>
      </c>
      <c r="C74" s="142">
        <v>26452.3</v>
      </c>
      <c r="D74" s="142">
        <v>4300.7</v>
      </c>
      <c r="E74" s="142">
        <f t="shared" si="4"/>
        <v>16.258321582622305</v>
      </c>
      <c r="F74" s="143"/>
      <c r="G74" s="143"/>
      <c r="H74" s="143"/>
      <c r="I74" s="144">
        <f>C74+F74</f>
        <v>26452.3</v>
      </c>
      <c r="J74" s="145">
        <f>D74+G74</f>
        <v>4300.7</v>
      </c>
      <c r="K74" s="146">
        <f t="shared" si="1"/>
        <v>16.258321582622305</v>
      </c>
    </row>
    <row r="75" spans="1:11" ht="15">
      <c r="A75" s="140" t="s">
        <v>199</v>
      </c>
      <c r="B75" s="141" t="s">
        <v>200</v>
      </c>
      <c r="C75" s="142">
        <v>47911.4</v>
      </c>
      <c r="D75" s="142">
        <v>17767.4</v>
      </c>
      <c r="E75" s="142">
        <f t="shared" si="4"/>
        <v>37.08386730506727</v>
      </c>
      <c r="F75" s="143">
        <v>0</v>
      </c>
      <c r="G75" s="143"/>
      <c r="H75" s="143">
        <v>0</v>
      </c>
      <c r="I75" s="144">
        <f t="shared" si="0"/>
        <v>47911.4</v>
      </c>
      <c r="J75" s="145">
        <f>D75+G75</f>
        <v>17767.4</v>
      </c>
      <c r="K75" s="146">
        <f t="shared" si="1"/>
        <v>37.08386730506727</v>
      </c>
    </row>
    <row r="76" spans="1:11" ht="15">
      <c r="A76" s="135" t="s">
        <v>201</v>
      </c>
      <c r="B76" s="136" t="s">
        <v>202</v>
      </c>
      <c r="C76" s="137">
        <f>SUM(C77:C80)</f>
        <v>66299.7</v>
      </c>
      <c r="D76" s="137">
        <f>SUM(D77:D80)</f>
        <v>29852.4</v>
      </c>
      <c r="E76" s="137">
        <f>D76/C76*100</f>
        <v>45.02644808347549</v>
      </c>
      <c r="F76" s="159">
        <f>SUM(F77:F80)</f>
        <v>107962</v>
      </c>
      <c r="G76" s="159">
        <f>SUM(G77:G80)</f>
        <v>38062.7</v>
      </c>
      <c r="H76" s="138">
        <f>G76/F76*100</f>
        <v>35.25564550489987</v>
      </c>
      <c r="I76" s="159">
        <f>SUM(I77:I80)</f>
        <v>173463.6</v>
      </c>
      <c r="J76" s="159">
        <f>SUM(J77:J80)</f>
        <v>67228.2</v>
      </c>
      <c r="K76" s="139">
        <f t="shared" si="1"/>
        <v>38.75637309498938</v>
      </c>
    </row>
    <row r="77" spans="1:11" ht="15">
      <c r="A77" s="140" t="s">
        <v>203</v>
      </c>
      <c r="B77" s="141" t="s">
        <v>204</v>
      </c>
      <c r="C77" s="142">
        <f>63096.6-C78</f>
        <v>62267.2</v>
      </c>
      <c r="D77" s="142">
        <f>28009.9-D78</f>
        <v>27690.9</v>
      </c>
      <c r="E77" s="142">
        <f t="shared" si="4"/>
        <v>44.47108590076317</v>
      </c>
      <c r="F77" s="143">
        <f>107602-F78</f>
        <v>107459</v>
      </c>
      <c r="G77" s="143">
        <f>38023-G78</f>
        <v>38004.1</v>
      </c>
      <c r="H77" s="143">
        <f>G77/F77*100</f>
        <v>35.366139643957226</v>
      </c>
      <c r="I77" s="144">
        <f>C77+F77-655.1</f>
        <v>169071.1</v>
      </c>
      <c r="J77" s="145">
        <f>D77+G77-655.1</f>
        <v>65039.9</v>
      </c>
      <c r="K77" s="146">
        <f t="shared" si="1"/>
        <v>38.468963649021035</v>
      </c>
    </row>
    <row r="78" spans="1:11" ht="30">
      <c r="A78" s="168" t="s">
        <v>203</v>
      </c>
      <c r="B78" s="169" t="s">
        <v>205</v>
      </c>
      <c r="C78" s="142">
        <f>587+103.7+117.9+20.8</f>
        <v>829.4</v>
      </c>
      <c r="D78" s="142">
        <v>319</v>
      </c>
      <c r="E78" s="142">
        <f t="shared" si="4"/>
        <v>38.46153846153847</v>
      </c>
      <c r="F78" s="143">
        <f>128+15</f>
        <v>143</v>
      </c>
      <c r="G78" s="143">
        <v>18.9</v>
      </c>
      <c r="H78" s="143">
        <f>G78/F78*100</f>
        <v>13.216783216783215</v>
      </c>
      <c r="I78" s="144">
        <f>C78+F78-143</f>
        <v>829.4</v>
      </c>
      <c r="J78" s="145">
        <f>D78+G78-31.8</f>
        <v>306.09999999999997</v>
      </c>
      <c r="K78" s="146">
        <f>J78/I78*100</f>
        <v>36.906197251024835</v>
      </c>
    </row>
    <row r="79" spans="1:11" ht="15">
      <c r="A79" s="140" t="s">
        <v>206</v>
      </c>
      <c r="B79" s="141" t="s">
        <v>207</v>
      </c>
      <c r="C79" s="142">
        <v>150</v>
      </c>
      <c r="D79" s="142">
        <v>16.2</v>
      </c>
      <c r="E79" s="142">
        <f t="shared" si="4"/>
        <v>10.8</v>
      </c>
      <c r="F79" s="143">
        <v>360</v>
      </c>
      <c r="G79" s="143">
        <v>39.7</v>
      </c>
      <c r="H79" s="143">
        <f>G79/F79*100</f>
        <v>11.027777777777779</v>
      </c>
      <c r="I79" s="144">
        <f aca="true" t="shared" si="8" ref="I79:J89">C79+F79</f>
        <v>510</v>
      </c>
      <c r="J79" s="145">
        <f t="shared" si="8"/>
        <v>55.900000000000006</v>
      </c>
      <c r="K79" s="146">
        <f aca="true" t="shared" si="9" ref="K79:K103">J79/I79*100</f>
        <v>10.96078431372549</v>
      </c>
    </row>
    <row r="80" spans="1:11" ht="15">
      <c r="A80" s="140" t="s">
        <v>208</v>
      </c>
      <c r="B80" s="141" t="s">
        <v>209</v>
      </c>
      <c r="C80" s="142">
        <v>3053.1</v>
      </c>
      <c r="D80" s="142">
        <v>1826.3</v>
      </c>
      <c r="E80" s="142">
        <f t="shared" si="4"/>
        <v>59.81789001342898</v>
      </c>
      <c r="F80" s="143"/>
      <c r="G80" s="143">
        <v>0</v>
      </c>
      <c r="H80" s="143"/>
      <c r="I80" s="144">
        <f>C80+F80</f>
        <v>3053.1</v>
      </c>
      <c r="J80" s="145">
        <f>D80+G80</f>
        <v>1826.3</v>
      </c>
      <c r="K80" s="146">
        <f t="shared" si="9"/>
        <v>59.81789001342898</v>
      </c>
    </row>
    <row r="81" spans="1:11" ht="15">
      <c r="A81" s="135" t="s">
        <v>210</v>
      </c>
      <c r="B81" s="136" t="s">
        <v>211</v>
      </c>
      <c r="C81" s="137">
        <f>SUM(C82:C83)</f>
        <v>7028.5</v>
      </c>
      <c r="D81" s="137">
        <f>SUM(D82:D83)</f>
        <v>0</v>
      </c>
      <c r="E81" s="137">
        <f>SUM(E82:E83)</f>
        <v>0</v>
      </c>
      <c r="F81" s="159">
        <v>0</v>
      </c>
      <c r="G81" s="159">
        <v>0</v>
      </c>
      <c r="H81" s="138"/>
      <c r="I81" s="159">
        <f>C81+F81</f>
        <v>7028.5</v>
      </c>
      <c r="J81" s="159">
        <f t="shared" si="8"/>
        <v>0</v>
      </c>
      <c r="K81" s="139">
        <f t="shared" si="9"/>
        <v>0</v>
      </c>
    </row>
    <row r="82" spans="1:11" ht="45">
      <c r="A82" s="147" t="s">
        <v>212</v>
      </c>
      <c r="B82" s="169" t="s">
        <v>213</v>
      </c>
      <c r="C82" s="142">
        <f>2904.4+1816.4</f>
        <v>4720.8</v>
      </c>
      <c r="D82" s="143">
        <v>0</v>
      </c>
      <c r="E82" s="142">
        <f t="shared" si="4"/>
        <v>0</v>
      </c>
      <c r="F82" s="143">
        <v>0</v>
      </c>
      <c r="G82" s="143">
        <v>0</v>
      </c>
      <c r="H82" s="143">
        <v>0</v>
      </c>
      <c r="I82" s="144">
        <f t="shared" si="8"/>
        <v>4720.8</v>
      </c>
      <c r="J82" s="145">
        <f t="shared" si="8"/>
        <v>0</v>
      </c>
      <c r="K82" s="146">
        <f t="shared" si="9"/>
        <v>0</v>
      </c>
    </row>
    <row r="83" spans="1:11" ht="30">
      <c r="A83" s="147" t="s">
        <v>212</v>
      </c>
      <c r="B83" s="169" t="s">
        <v>214</v>
      </c>
      <c r="C83" s="142">
        <v>2307.7</v>
      </c>
      <c r="D83" s="143"/>
      <c r="E83" s="142"/>
      <c r="F83" s="143"/>
      <c r="G83" s="143"/>
      <c r="H83" s="143"/>
      <c r="I83" s="144"/>
      <c r="J83" s="145"/>
      <c r="K83" s="146"/>
    </row>
    <row r="84" spans="1:11" ht="15">
      <c r="A84" s="135">
        <v>10</v>
      </c>
      <c r="B84" s="136" t="s">
        <v>215</v>
      </c>
      <c r="C84" s="137">
        <f>SUM(C85:C91)</f>
        <v>139137.8</v>
      </c>
      <c r="D84" s="137">
        <f>SUM(D85:D91)</f>
        <v>45155.6</v>
      </c>
      <c r="E84" s="137">
        <f>D84/C84*100</f>
        <v>32.453869473284755</v>
      </c>
      <c r="F84" s="137">
        <f>SUM(F85:F89)</f>
        <v>492.9</v>
      </c>
      <c r="G84" s="137">
        <f>SUM(G85:G89)</f>
        <v>205</v>
      </c>
      <c r="H84" s="138">
        <f>G84/F84*100</f>
        <v>41.59058632582674</v>
      </c>
      <c r="I84" s="137">
        <f>SUM(I85:I91)</f>
        <v>139630.7</v>
      </c>
      <c r="J84" s="137">
        <f>SUM(J85:J91)</f>
        <v>45360.6</v>
      </c>
      <c r="K84" s="139">
        <f t="shared" si="9"/>
        <v>32.486122321237374</v>
      </c>
    </row>
    <row r="85" spans="1:11" ht="15">
      <c r="A85" s="147">
        <v>1001</v>
      </c>
      <c r="B85" s="141" t="s">
        <v>216</v>
      </c>
      <c r="C85" s="142">
        <v>4063</v>
      </c>
      <c r="D85" s="142">
        <v>1499.1</v>
      </c>
      <c r="E85" s="142">
        <f t="shared" si="4"/>
        <v>36.896381983755845</v>
      </c>
      <c r="F85" s="143">
        <v>492.9</v>
      </c>
      <c r="G85" s="143">
        <v>205</v>
      </c>
      <c r="H85" s="143">
        <f>G85/F85*100</f>
        <v>41.59058632582674</v>
      </c>
      <c r="I85" s="144">
        <f t="shared" si="8"/>
        <v>4555.9</v>
      </c>
      <c r="J85" s="145">
        <f t="shared" si="8"/>
        <v>1704.1</v>
      </c>
      <c r="K85" s="146">
        <f t="shared" si="9"/>
        <v>37.40424504488685</v>
      </c>
    </row>
    <row r="86" spans="1:11" ht="60">
      <c r="A86" s="147">
        <v>1003</v>
      </c>
      <c r="B86" s="141" t="s">
        <v>217</v>
      </c>
      <c r="C86" s="142">
        <v>4756.3</v>
      </c>
      <c r="D86" s="142">
        <v>0</v>
      </c>
      <c r="E86" s="142">
        <f t="shared" si="4"/>
        <v>0</v>
      </c>
      <c r="F86" s="143">
        <v>0</v>
      </c>
      <c r="G86" s="143">
        <v>0</v>
      </c>
      <c r="H86" s="143">
        <v>0</v>
      </c>
      <c r="I86" s="144">
        <f t="shared" si="8"/>
        <v>4756.3</v>
      </c>
      <c r="J86" s="145">
        <f t="shared" si="8"/>
        <v>0</v>
      </c>
      <c r="K86" s="146">
        <f t="shared" si="9"/>
        <v>0</v>
      </c>
    </row>
    <row r="87" spans="1:11" ht="165">
      <c r="A87" s="147" t="s">
        <v>218</v>
      </c>
      <c r="B87" s="141" t="s">
        <v>219</v>
      </c>
      <c r="C87" s="142">
        <f>2635.8+134.1</f>
        <v>2769.9</v>
      </c>
      <c r="D87" s="142">
        <v>0</v>
      </c>
      <c r="E87" s="142">
        <f t="shared" si="4"/>
        <v>0</v>
      </c>
      <c r="F87" s="143"/>
      <c r="G87" s="143"/>
      <c r="H87" s="143"/>
      <c r="I87" s="144">
        <f t="shared" si="8"/>
        <v>2769.9</v>
      </c>
      <c r="J87" s="145">
        <f t="shared" si="8"/>
        <v>0</v>
      </c>
      <c r="K87" s="146">
        <f t="shared" si="9"/>
        <v>0</v>
      </c>
    </row>
    <row r="88" spans="1:11" ht="75">
      <c r="A88" s="147">
        <v>1004</v>
      </c>
      <c r="B88" s="141" t="s">
        <v>220</v>
      </c>
      <c r="C88" s="142">
        <v>31571</v>
      </c>
      <c r="D88" s="142">
        <v>6970.7</v>
      </c>
      <c r="E88" s="142">
        <f t="shared" si="4"/>
        <v>22.079439992398086</v>
      </c>
      <c r="F88" s="143">
        <v>0</v>
      </c>
      <c r="G88" s="143">
        <v>0</v>
      </c>
      <c r="H88" s="143">
        <v>0</v>
      </c>
      <c r="I88" s="144">
        <f t="shared" si="8"/>
        <v>31571</v>
      </c>
      <c r="J88" s="145">
        <f t="shared" si="8"/>
        <v>6970.7</v>
      </c>
      <c r="K88" s="146">
        <f t="shared" si="9"/>
        <v>22.079439992398086</v>
      </c>
    </row>
    <row r="89" spans="1:11" ht="150">
      <c r="A89" s="147">
        <v>1004</v>
      </c>
      <c r="B89" s="141" t="s">
        <v>221</v>
      </c>
      <c r="C89" s="142">
        <v>70674.5</v>
      </c>
      <c r="D89" s="142">
        <v>24289.4</v>
      </c>
      <c r="E89" s="142">
        <f aca="true" t="shared" si="10" ref="E89:E102">D89/C89*100</f>
        <v>34.36798279436006</v>
      </c>
      <c r="F89" s="143">
        <v>0</v>
      </c>
      <c r="G89" s="143">
        <v>0</v>
      </c>
      <c r="H89" s="143">
        <v>0</v>
      </c>
      <c r="I89" s="144">
        <f t="shared" si="8"/>
        <v>70674.5</v>
      </c>
      <c r="J89" s="145">
        <f t="shared" si="8"/>
        <v>24289.4</v>
      </c>
      <c r="K89" s="146">
        <f t="shared" si="9"/>
        <v>34.36798279436006</v>
      </c>
    </row>
    <row r="90" spans="1:11" ht="135">
      <c r="A90" s="147" t="s">
        <v>222</v>
      </c>
      <c r="B90" s="141" t="s">
        <v>223</v>
      </c>
      <c r="C90" s="142">
        <v>7662.9</v>
      </c>
      <c r="D90" s="142">
        <v>7662.9</v>
      </c>
      <c r="E90" s="142">
        <f>D90/C90*100</f>
        <v>100</v>
      </c>
      <c r="F90" s="143">
        <v>0</v>
      </c>
      <c r="G90" s="143">
        <v>0</v>
      </c>
      <c r="H90" s="143">
        <v>0</v>
      </c>
      <c r="I90" s="144">
        <f>C90+F90</f>
        <v>7662.9</v>
      </c>
      <c r="J90" s="145">
        <f>D90+G90</f>
        <v>7662.9</v>
      </c>
      <c r="K90" s="146">
        <f>J90/I90*100</f>
        <v>100</v>
      </c>
    </row>
    <row r="91" spans="1:11" ht="30">
      <c r="A91" s="147">
        <v>1006</v>
      </c>
      <c r="B91" s="141" t="s">
        <v>224</v>
      </c>
      <c r="C91" s="142">
        <v>17640.2</v>
      </c>
      <c r="D91" s="142">
        <v>4733.5</v>
      </c>
      <c r="E91" s="142">
        <f t="shared" si="10"/>
        <v>26.833595990975155</v>
      </c>
      <c r="F91" s="143">
        <v>0</v>
      </c>
      <c r="G91" s="143">
        <v>0</v>
      </c>
      <c r="H91" s="143">
        <v>0</v>
      </c>
      <c r="I91" s="144">
        <f>C91+F91</f>
        <v>17640.2</v>
      </c>
      <c r="J91" s="145">
        <f>D91+G91</f>
        <v>4733.5</v>
      </c>
      <c r="K91" s="146">
        <f t="shared" si="9"/>
        <v>26.833595990975155</v>
      </c>
    </row>
    <row r="92" spans="1:11" ht="15">
      <c r="A92" s="164">
        <v>1100</v>
      </c>
      <c r="B92" s="136" t="s">
        <v>225</v>
      </c>
      <c r="C92" s="137">
        <f>SUM(C93:C94)</f>
        <v>32661.7</v>
      </c>
      <c r="D92" s="137">
        <f>SUM(D93:D94)</f>
        <v>11629.9</v>
      </c>
      <c r="E92" s="137">
        <f>D92/C92*100</f>
        <v>35.60714843379248</v>
      </c>
      <c r="F92" s="159">
        <f>F93+F94</f>
        <v>33429</v>
      </c>
      <c r="G92" s="159">
        <f>G93+G94</f>
        <v>13328.9</v>
      </c>
      <c r="H92" s="138">
        <f>G92/F92*100</f>
        <v>39.87226659487271</v>
      </c>
      <c r="I92" s="159">
        <f>SUM(I93:I94)</f>
        <v>65865.7</v>
      </c>
      <c r="J92" s="159">
        <f>SUM(J93:J94)</f>
        <v>24733.8</v>
      </c>
      <c r="K92" s="139">
        <f t="shared" si="9"/>
        <v>37.55186690492927</v>
      </c>
    </row>
    <row r="93" spans="1:11" ht="15">
      <c r="A93" s="147">
        <v>1101</v>
      </c>
      <c r="B93" s="141" t="s">
        <v>226</v>
      </c>
      <c r="C93" s="142">
        <v>32506.7</v>
      </c>
      <c r="D93" s="142">
        <v>11629.9</v>
      </c>
      <c r="E93" s="142">
        <f t="shared" si="10"/>
        <v>35.776932140143415</v>
      </c>
      <c r="F93" s="143">
        <v>33429</v>
      </c>
      <c r="G93" s="143">
        <v>13328.9</v>
      </c>
      <c r="H93" s="143">
        <f>G93/F93*100</f>
        <v>39.87226659487271</v>
      </c>
      <c r="I93" s="144">
        <f>C93+F93-225</f>
        <v>65710.7</v>
      </c>
      <c r="J93" s="144">
        <f>D93+G93-225</f>
        <v>24733.8</v>
      </c>
      <c r="K93" s="146">
        <f t="shared" si="9"/>
        <v>37.64044516342087</v>
      </c>
    </row>
    <row r="94" spans="1:11" ht="15">
      <c r="A94" s="147">
        <v>1102</v>
      </c>
      <c r="B94" s="141" t="s">
        <v>227</v>
      </c>
      <c r="C94" s="142">
        <v>155</v>
      </c>
      <c r="D94" s="142">
        <v>0</v>
      </c>
      <c r="E94" s="142">
        <f t="shared" si="10"/>
        <v>0</v>
      </c>
      <c r="F94" s="143"/>
      <c r="G94" s="143">
        <v>0</v>
      </c>
      <c r="H94" s="143"/>
      <c r="I94" s="144">
        <f>C94+F94</f>
        <v>155</v>
      </c>
      <c r="J94" s="144">
        <f>D94+G94</f>
        <v>0</v>
      </c>
      <c r="K94" s="146">
        <f t="shared" si="9"/>
        <v>0</v>
      </c>
    </row>
    <row r="95" spans="1:11" ht="15">
      <c r="A95" s="164">
        <v>1200</v>
      </c>
      <c r="B95" s="136" t="s">
        <v>228</v>
      </c>
      <c r="C95" s="137">
        <f>C96</f>
        <v>8927.4</v>
      </c>
      <c r="D95" s="137">
        <f>D96</f>
        <v>5600</v>
      </c>
      <c r="E95" s="166">
        <f>D95/C95*100</f>
        <v>62.72822994376862</v>
      </c>
      <c r="F95" s="137">
        <f>F96</f>
        <v>0</v>
      </c>
      <c r="G95" s="137">
        <f>G96</f>
        <v>0</v>
      </c>
      <c r="H95" s="170"/>
      <c r="I95" s="137">
        <f aca="true" t="shared" si="11" ref="I95:J98">C95+F95</f>
        <v>8927.4</v>
      </c>
      <c r="J95" s="137">
        <f t="shared" si="11"/>
        <v>5600</v>
      </c>
      <c r="K95" s="149">
        <f t="shared" si="9"/>
        <v>62.72822994376862</v>
      </c>
    </row>
    <row r="96" spans="1:11" ht="15">
      <c r="A96" s="147" t="s">
        <v>229</v>
      </c>
      <c r="B96" s="141" t="s">
        <v>230</v>
      </c>
      <c r="C96" s="142">
        <v>8927.4</v>
      </c>
      <c r="D96" s="142">
        <v>5600</v>
      </c>
      <c r="E96" s="142">
        <f>D96/C96*100</f>
        <v>62.72822994376862</v>
      </c>
      <c r="F96" s="143">
        <v>0</v>
      </c>
      <c r="G96" s="143">
        <v>0</v>
      </c>
      <c r="H96" s="143">
        <v>0</v>
      </c>
      <c r="I96" s="144">
        <f t="shared" si="11"/>
        <v>8927.4</v>
      </c>
      <c r="J96" s="144">
        <f t="shared" si="11"/>
        <v>5600</v>
      </c>
      <c r="K96" s="146">
        <f>J96/I96*100</f>
        <v>62.72822994376862</v>
      </c>
    </row>
    <row r="97" spans="1:11" ht="28.5">
      <c r="A97" s="164">
        <v>1300</v>
      </c>
      <c r="B97" s="136" t="s">
        <v>231</v>
      </c>
      <c r="C97" s="137">
        <f aca="true" t="shared" si="12" ref="C97:H97">C98</f>
        <v>5590</v>
      </c>
      <c r="D97" s="137">
        <f t="shared" si="12"/>
        <v>784.5</v>
      </c>
      <c r="E97" s="137">
        <f t="shared" si="12"/>
        <v>14.033989266547406</v>
      </c>
      <c r="F97" s="137">
        <f t="shared" si="12"/>
        <v>0</v>
      </c>
      <c r="G97" s="137">
        <f t="shared" si="12"/>
        <v>0</v>
      </c>
      <c r="H97" s="148">
        <f t="shared" si="12"/>
        <v>0</v>
      </c>
      <c r="I97" s="137">
        <f t="shared" si="11"/>
        <v>5590</v>
      </c>
      <c r="J97" s="137">
        <f t="shared" si="11"/>
        <v>784.5</v>
      </c>
      <c r="K97" s="149">
        <f t="shared" si="9"/>
        <v>14.033989266547406</v>
      </c>
    </row>
    <row r="98" spans="1:11" ht="30">
      <c r="A98" s="147">
        <v>1301</v>
      </c>
      <c r="B98" s="141" t="s">
        <v>232</v>
      </c>
      <c r="C98" s="142">
        <v>5590</v>
      </c>
      <c r="D98" s="142">
        <v>784.5</v>
      </c>
      <c r="E98" s="142">
        <f t="shared" si="10"/>
        <v>14.033989266547406</v>
      </c>
      <c r="F98" s="143"/>
      <c r="G98" s="143">
        <v>0</v>
      </c>
      <c r="H98" s="143">
        <v>0</v>
      </c>
      <c r="I98" s="144">
        <f t="shared" si="11"/>
        <v>5590</v>
      </c>
      <c r="J98" s="144">
        <f t="shared" si="11"/>
        <v>784.5</v>
      </c>
      <c r="K98" s="146">
        <f t="shared" si="9"/>
        <v>14.033989266547406</v>
      </c>
    </row>
    <row r="99" spans="1:11" ht="14.25">
      <c r="A99" s="164">
        <v>1400</v>
      </c>
      <c r="B99" s="136" t="s">
        <v>233</v>
      </c>
      <c r="C99" s="137">
        <f>SUM(C100:C102)</f>
        <v>298980</v>
      </c>
      <c r="D99" s="137">
        <f>SUM(D100:D102)</f>
        <v>122106.5</v>
      </c>
      <c r="E99" s="137">
        <f>D99/C99*100</f>
        <v>40.84102615559569</v>
      </c>
      <c r="F99" s="159">
        <f>F100+F101+F102</f>
        <v>0</v>
      </c>
      <c r="G99" s="159">
        <f>SUM(G100:G102)</f>
        <v>0</v>
      </c>
      <c r="H99" s="159"/>
      <c r="I99" s="159">
        <v>0</v>
      </c>
      <c r="J99" s="159">
        <v>0</v>
      </c>
      <c r="K99" s="139">
        <v>0</v>
      </c>
    </row>
    <row r="100" spans="1:11" ht="30">
      <c r="A100" s="147">
        <v>1401</v>
      </c>
      <c r="B100" s="141" t="s">
        <v>234</v>
      </c>
      <c r="C100" s="142">
        <v>123158.4</v>
      </c>
      <c r="D100" s="142">
        <v>49263.1</v>
      </c>
      <c r="E100" s="142">
        <f t="shared" si="10"/>
        <v>39.99978888975498</v>
      </c>
      <c r="F100" s="143">
        <v>0</v>
      </c>
      <c r="G100" s="143">
        <v>0</v>
      </c>
      <c r="H100" s="143">
        <v>0</v>
      </c>
      <c r="I100" s="144">
        <v>0</v>
      </c>
      <c r="J100" s="145">
        <v>0</v>
      </c>
      <c r="K100" s="146">
        <v>0</v>
      </c>
    </row>
    <row r="101" spans="1:11" ht="15">
      <c r="A101" s="147">
        <v>1402</v>
      </c>
      <c r="B101" s="141" t="s">
        <v>235</v>
      </c>
      <c r="C101" s="142">
        <v>170021.6</v>
      </c>
      <c r="D101" s="142">
        <v>72843.4</v>
      </c>
      <c r="E101" s="142">
        <f t="shared" si="10"/>
        <v>42.84361516419089</v>
      </c>
      <c r="F101" s="143">
        <v>0</v>
      </c>
      <c r="G101" s="143">
        <v>0</v>
      </c>
      <c r="H101" s="143">
        <v>0</v>
      </c>
      <c r="I101" s="144">
        <v>0</v>
      </c>
      <c r="J101" s="145">
        <v>0</v>
      </c>
      <c r="K101" s="146">
        <v>0</v>
      </c>
    </row>
    <row r="102" spans="1:11" ht="15">
      <c r="A102" s="147">
        <v>1403</v>
      </c>
      <c r="B102" s="141" t="s">
        <v>236</v>
      </c>
      <c r="C102" s="142">
        <v>5800</v>
      </c>
      <c r="D102" s="142">
        <v>0</v>
      </c>
      <c r="E102" s="142">
        <f t="shared" si="10"/>
        <v>0</v>
      </c>
      <c r="F102" s="143">
        <v>0</v>
      </c>
      <c r="G102" s="143">
        <v>0</v>
      </c>
      <c r="H102" s="143">
        <v>0</v>
      </c>
      <c r="I102" s="144">
        <v>0</v>
      </c>
      <c r="J102" s="145">
        <v>0</v>
      </c>
      <c r="K102" s="146">
        <v>0</v>
      </c>
    </row>
    <row r="103" spans="1:11" ht="15" thickBot="1">
      <c r="A103" s="171" t="s">
        <v>237</v>
      </c>
      <c r="B103" s="172"/>
      <c r="C103" s="173">
        <f>C9+C18+C20+C25+C45+C65+C67+C76+C81+C84+C92+C95+C97+C99</f>
        <v>3298566.6999999997</v>
      </c>
      <c r="D103" s="173">
        <f>D99+D97+D95+D92+D84+D81+D76+D67+D65+D45+D25+D20+D18+D9</f>
        <v>1280535</v>
      </c>
      <c r="E103" s="173">
        <f>D103/C103*100</f>
        <v>38.8209521426382</v>
      </c>
      <c r="F103" s="173">
        <f>F9+F18+F20+F25+F45+F65+F67+F76+F81+F84+F92+F95+F97+F99</f>
        <v>606974.6000000001</v>
      </c>
      <c r="G103" s="173">
        <f>G99+G97+G95+G84+G81+G76+G67+G45+G25+G21+G18+G9+G20+G92</f>
        <v>199735.7</v>
      </c>
      <c r="H103" s="174">
        <f>G103/F103*100</f>
        <v>32.90676413807102</v>
      </c>
      <c r="I103" s="173">
        <f>I99+I97+I95+I92+I84+I81+I76+I67+I65+I45+I25+I20+I18+I9</f>
        <v>3523614.7</v>
      </c>
      <c r="J103" s="173">
        <f>J99+J97+J95+J92+J84+J81+J76+J67+J65+J45+J25+J20+J18+J9</f>
        <v>1351763.7999999998</v>
      </c>
      <c r="K103" s="175">
        <f t="shared" si="9"/>
        <v>38.36298560112148</v>
      </c>
    </row>
    <row r="104" spans="1:11" ht="12.75">
      <c r="A104" s="176"/>
      <c r="B104" s="177"/>
      <c r="C104" s="178"/>
      <c r="D104" s="110"/>
      <c r="E104" s="179"/>
      <c r="F104" s="112"/>
      <c r="G104" s="113"/>
      <c r="H104" s="113"/>
      <c r="I104" s="115"/>
      <c r="J104" s="115"/>
      <c r="K104" s="115"/>
    </row>
    <row r="105" spans="1:11" ht="12.75">
      <c r="A105" s="180"/>
      <c r="B105" s="181"/>
      <c r="C105" s="182"/>
      <c r="D105" s="182"/>
      <c r="E105" s="182"/>
      <c r="F105" s="182"/>
      <c r="G105" s="182"/>
      <c r="H105" s="182"/>
      <c r="I105" s="182"/>
      <c r="J105" s="182"/>
      <c r="K105" s="182"/>
    </row>
    <row r="106" spans="1:11" ht="12.75">
      <c r="A106" s="180"/>
      <c r="B106" s="181"/>
      <c r="C106" s="182"/>
      <c r="D106" s="183"/>
      <c r="E106" s="179"/>
      <c r="F106" s="112"/>
      <c r="G106" s="113"/>
      <c r="H106" s="113"/>
      <c r="I106" s="114"/>
      <c r="J106" s="114"/>
      <c r="K106" s="115"/>
    </row>
    <row r="107" spans="1:11" ht="12.75">
      <c r="A107" s="184" t="s">
        <v>238</v>
      </c>
      <c r="B107" s="184"/>
      <c r="C107" s="184"/>
      <c r="D107" s="185"/>
      <c r="E107" s="186"/>
      <c r="F107" s="186"/>
      <c r="G107" s="113"/>
      <c r="H107" s="113"/>
      <c r="I107" s="115"/>
      <c r="J107" s="115"/>
      <c r="K107" s="115"/>
    </row>
    <row r="108" spans="1:11" ht="12.75">
      <c r="A108" s="184" t="s">
        <v>239</v>
      </c>
      <c r="B108" s="184"/>
      <c r="C108" s="184"/>
      <c r="D108" s="187"/>
      <c r="E108" s="188" t="s">
        <v>240</v>
      </c>
      <c r="F108" s="188"/>
      <c r="G108" s="113"/>
      <c r="H108" s="113"/>
      <c r="I108" s="114"/>
      <c r="J108" s="115"/>
      <c r="K108" s="115"/>
    </row>
    <row r="109" spans="1:11" ht="12.75">
      <c r="A109" s="189"/>
      <c r="B109" s="190"/>
      <c r="C109" s="191"/>
      <c r="D109" s="192"/>
      <c r="E109" s="193"/>
      <c r="F109" s="194"/>
      <c r="G109" s="113"/>
      <c r="H109" s="113"/>
      <c r="I109" s="114"/>
      <c r="J109" s="115"/>
      <c r="K109" s="115"/>
    </row>
    <row r="110" spans="1:11" ht="12.75">
      <c r="A110" s="184" t="s">
        <v>241</v>
      </c>
      <c r="B110" s="184"/>
      <c r="C110" s="184"/>
      <c r="D110" s="195"/>
      <c r="E110" s="188" t="s">
        <v>242</v>
      </c>
      <c r="F110" s="188"/>
      <c r="G110" s="113"/>
      <c r="H110" s="113"/>
      <c r="I110" s="114"/>
      <c r="J110" s="115"/>
      <c r="K110" s="115"/>
    </row>
    <row r="111" spans="1:11" ht="12.75">
      <c r="A111" s="189"/>
      <c r="B111" s="196"/>
      <c r="C111" s="197"/>
      <c r="D111" s="198"/>
      <c r="E111" s="193"/>
      <c r="F111" s="194"/>
      <c r="G111" s="113"/>
      <c r="H111" s="113"/>
      <c r="I111" s="114"/>
      <c r="J111" s="115"/>
      <c r="K111" s="115"/>
    </row>
    <row r="112" spans="1:11" ht="12.75">
      <c r="A112" s="184" t="s">
        <v>243</v>
      </c>
      <c r="B112" s="184"/>
      <c r="C112" s="184"/>
      <c r="D112" s="195"/>
      <c r="E112" s="199" t="s">
        <v>244</v>
      </c>
      <c r="F112" s="199"/>
      <c r="G112" s="113"/>
      <c r="H112" s="113"/>
      <c r="I112" s="114"/>
      <c r="J112" s="115"/>
      <c r="K112" s="115"/>
    </row>
    <row r="113" spans="1:11" ht="12.75">
      <c r="A113" s="200"/>
      <c r="B113" s="201"/>
      <c r="C113" s="202"/>
      <c r="D113" s="185"/>
      <c r="E113" s="185"/>
      <c r="F113" s="186"/>
      <c r="G113" s="113"/>
      <c r="H113" s="113"/>
      <c r="I113" s="115"/>
      <c r="J113" s="115"/>
      <c r="K113" s="115"/>
    </row>
    <row r="114" spans="1:6" ht="12.75">
      <c r="A114" s="203"/>
      <c r="B114" s="203"/>
      <c r="C114" s="204" t="s">
        <v>245</v>
      </c>
      <c r="D114" s="205"/>
      <c r="E114" s="206" t="s">
        <v>246</v>
      </c>
      <c r="F114" s="203"/>
    </row>
  </sheetData>
  <sheetProtection/>
  <mergeCells count="35">
    <mergeCell ref="A107:C107"/>
    <mergeCell ref="A108:C108"/>
    <mergeCell ref="E108:F108"/>
    <mergeCell ref="A110:C110"/>
    <mergeCell ref="E110:F110"/>
    <mergeCell ref="A112:C112"/>
    <mergeCell ref="E112:F112"/>
    <mergeCell ref="G20:G21"/>
    <mergeCell ref="H20:H21"/>
    <mergeCell ref="I20:I21"/>
    <mergeCell ref="J20:J21"/>
    <mergeCell ref="K20:K21"/>
    <mergeCell ref="A103:B103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Заворотынская</cp:lastModifiedBy>
  <cp:lastPrinted>2018-01-31T06:56:43Z</cp:lastPrinted>
  <dcterms:created xsi:type="dcterms:W3CDTF">2006-05-12T06:58:42Z</dcterms:created>
  <dcterms:modified xsi:type="dcterms:W3CDTF">2018-06-26T12:07:56Z</dcterms:modified>
  <cp:category/>
  <cp:version/>
  <cp:contentType/>
  <cp:contentStatus/>
</cp:coreProperties>
</file>